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192.168.1.144\erum\Evaluacion y Control\Gloria Marleny Álvarez Vasco\ANO 2021\AUDITORIAS  VIGENCIA 2021\INFORMES DE CI\AUDITORIA INF 10-2021  AVANCE JUNIO SCI\"/>
    </mc:Choice>
  </mc:AlternateContent>
  <xr:revisionPtr revIDLastSave="0" documentId="13_ncr:1_{8E3FA6D8-9B07-4385-98FF-B973439ABEC6}" xr6:coauthVersionLast="46" xr6:coauthVersionMax="46" xr10:uidLastSave="{00000000-0000-0000-0000-000000000000}"/>
  <bookViews>
    <workbookView xWindow="-120" yWindow="-120" windowWidth="29040" windowHeight="1584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<sst xmlns="http://schemas.openxmlformats.org/spreadsheetml/2006/main" count="514" uniqueCount="227">
  <si>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</si>
  <si>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</si>
  <si>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</si>
  <si>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</si>
  <si>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</si>
  <si>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</si>
  <si>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</si>
  <si>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</si>
  <si>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</si>
  <si>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</si>
  <si>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</si>
  <si>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</si>
  <si>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</si>
  <si>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</si>
  <si>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</si>
  <si>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</si>
  <si>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</si>
  <si>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</si>
  <si>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</si>
  <si>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</si>
  <si>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</si>
  <si>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</si>
  <si>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</si>
  <si>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</si>
  <si>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</si>
  <si>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</si>
  <si>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</si>
  <si>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</si>
  <si>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</si>
  <si>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</si>
  <si>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</si>
  <si>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</si>
  <si>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</si>
  <si>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</si>
  <si>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</si>
  <si>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</si>
  <si>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</si>
  <si>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</si>
  <si>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</si>
  <si>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</si>
  <si>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</si>
  <si>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</si>
  <si>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</si>
  <si>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</si>
  <si>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</si>
  <si>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</si>
  <si>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</si>
  <si>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</si>
  <si>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</si>
  <si>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</si>
  <si>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</si>
  <si>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</si>
  <si>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</si>
  <si>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</si>
  <si>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</si>
  <si>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</si>
  <si>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</si>
  <si>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</si>
  <si>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</si>
  <si>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</si>
  <si>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</si>
  <si>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</si>
  <si>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</si>
  <si>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</si>
  <si>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</si>
  <si>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</si>
  <si>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</si>
  <si>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</si>
  <si>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</si>
  <si>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</si>
  <si>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</si>
  <si>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</si>
  <si>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</si>
  <si>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</si>
  <si>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</si>
  <si>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</si>
  <si>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</si>
  <si>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</si>
  <si>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</si>
  <si>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</si>
  <si>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</si>
  <si>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</si>
  <si>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</si>
  <si>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</si>
  <si>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</si>
  <si>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</si>
  <si>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</si>
  <si>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</si>
  <si>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</si>
  <si>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</si>
  <si>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</si>
  <si>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</si>
  <si>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</si>
  <si>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</si>
  <si>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</si>
  <si>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</si>
  <si>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</si>
  <si>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</si>
  <si>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</si>
  <si>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</si>
  <si>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</si>
  <si>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</si>
  <si>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</si>
  <si>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</si>
  <si>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</si>
  <si>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</si>
  <si>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</si>
  <si>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</si>
  <si>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</si>
  <si>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</si>
  <si>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</si>
  <si>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</si>
  <si>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</si>
  <si>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</si>
  <si>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</si>
  <si>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</si>
  <si>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</si>
  <si>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</si>
  <si>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</si>
  <si>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</si>
  <si>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</si>
  <si>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</si>
  <si>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</si>
  <si>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</si>
  <si>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</si>
  <si>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</si>
  <si>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</si>
  <si>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</si>
  <si>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</si>
  <si>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</si>
  <si>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</si>
  <si>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</si>
  <si>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</si>
  <si>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</si>
  <si>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</si>
  <si>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</si>
  <si>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</si>
  <si>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</si>
  <si>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</si>
  <si>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</si>
  <si>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</si>
  <si>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</si>
  <si>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</si>
  <si>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</si>
  <si>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</si>
  <si>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</si>
  <si>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</si>
  <si>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</si>
  <si>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</si>
  <si>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</si>
  <si>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</si>
  <si>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</si>
  <si>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</si>
  <si>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</si>
  <si>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</si>
  <si>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</si>
  <si>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</si>
  <si>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</si>
  <si>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</si>
  <si>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</si>
  <si>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</si>
  <si>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</si>
  <si>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</si>
  <si>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</si>
  <si>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</si>
  <si>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</si>
  <si>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</si>
  <si>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</si>
  <si>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</si>
  <si>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</si>
  <si>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</si>
  <si>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</si>
  <si>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</si>
  <si>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</si>
  <si>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</si>
  <si>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</si>
  <si>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</si>
  <si>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</si>
  <si>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</si>
  <si>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</si>
  <si>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</si>
  <si>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</si>
  <si>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</si>
  <si>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</si>
  <si>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</si>
  <si>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</si>
  <si>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</si>
  <si>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</si>
  <si>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</si>
  <si>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</si>
  <si>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El documento es la Resolución numero 146 de 2017, se constituyó el comité institucional coordinador de control interno y ala fecha no se le han realizado modificaciones.</t>
  </si>
  <si>
    <t>Se  tienen adoptada la Plataforma estratgica  mediante  resolucion nro 013 de 2021</t>
  </si>
  <si>
    <r>
      <t xml:space="preserve">Se tiene documentada mediante  la resolucion 130 de 2018 y 165 de 2017; sin embargo se  esta  en proceso de  modernizacion, </t>
    </r>
    <r>
      <rPr>
        <b/>
        <sz val="11"/>
        <color theme="4"/>
        <rFont val="Arial Narrow"/>
        <family val="2"/>
      </rPr>
      <t xml:space="preserve">  de  acuerdo a la nueva   plataforma  estrategica.</t>
    </r>
  </si>
  <si>
    <r>
      <t xml:space="preserve">Se tiene documentada 165 de 2017; sin embargo se  esta  en proceso de  modernizacion, </t>
    </r>
    <r>
      <rPr>
        <b/>
        <sz val="11"/>
        <color theme="4"/>
        <rFont val="Arial Narrow"/>
        <family val="2"/>
      </rPr>
      <t xml:space="preserve">  de  acuerdo a la nueva   plataforma  estrategica.</t>
    </r>
  </si>
  <si>
    <r>
      <t xml:space="preserve">Se tiene documentada 130 de 2019; sin embargo se  esta  en proceso de  modernizacion, </t>
    </r>
    <r>
      <rPr>
        <b/>
        <sz val="11"/>
        <color theme="4"/>
        <rFont val="Arial Narrow"/>
        <family val="2"/>
      </rPr>
      <t xml:space="preserve">  de  acuerdo a la nueva   plataforma  estrategica.</t>
    </r>
  </si>
  <si>
    <r>
      <t xml:space="preserve">La  vinculacion es  de  acuerdo al  regimen   de la  Institucion (  Empleados de  Libre nombramiento  y Remocion  trabajadores  oficiales); sin embargo se  esta  en proceso de  modernizacion, </t>
    </r>
    <r>
      <rPr>
        <b/>
        <sz val="11"/>
        <color theme="4"/>
        <rFont val="Arial Narrow"/>
        <family val="2"/>
      </rPr>
      <t xml:space="preserve">  de  acuerdo a la nueva   plataforma  estrategica.</t>
    </r>
  </si>
  <si>
    <r>
      <t xml:space="preserve">No se   tiene  documentado, aprobado, ni implementado   los planes  de  induccion, reinduccion, capacitacion, bienestar social  para  los  funcionarios  de la  entidad. </t>
    </r>
    <r>
      <rPr>
        <b/>
        <sz val="11"/>
        <color theme="4"/>
        <rFont val="Arial Narrow"/>
        <family val="2"/>
      </rPr>
      <t>sin embargo se  esta  en proceso de  elaboracion,   de  acuerdo a la nueva   plataforma  estrategica.</t>
    </r>
  </si>
  <si>
    <r>
      <t xml:space="preserve">No se   tiene  documentado, aprobado, ni implementado , </t>
    </r>
    <r>
      <rPr>
        <b/>
        <sz val="11"/>
        <color theme="4"/>
        <rFont val="Arial Narrow"/>
        <family val="2"/>
      </rPr>
      <t>sin embargo se  esta  en proceso de  elaboracion,   de  acuerdo a la nueva   plataforma  estrategica.</t>
    </r>
  </si>
  <si>
    <r>
      <t xml:space="preserve">No se  cuenta  con un documento  actualizado  y aprobado  denominado  codigo de  etica, </t>
    </r>
    <r>
      <rPr>
        <b/>
        <sz val="11"/>
        <color theme="4"/>
        <rFont val="Arial Narrow"/>
        <family val="2"/>
      </rPr>
      <t>sin embargo se  esta  en proceso de  modernizacion,   de  acuerdo a la nueva   plataforma  estrategica.</t>
    </r>
  </si>
  <si>
    <r>
      <t>Se   tiene  documentado, aprobado, el procedimiento de  Rendicion de  cuentas PC-01-PR-02; mediante  resolucion 130 de 2019; S</t>
    </r>
    <r>
      <rPr>
        <b/>
        <sz val="11"/>
        <color theme="4"/>
        <rFont val="Arial Narrow"/>
        <family val="2"/>
      </rPr>
      <t>in embargo se  esta  en proceso de  modernizacion,   de  acuerdo a la nueva   plataforma  estrategica.</t>
    </r>
  </si>
  <si>
    <t>Se  evidencian  debilidades  en  la entrega de  la informacion por parte de algunos  lideres; se  esta  en proceso de  modernizacion,   de  acuerdo a la nueva   plataforma  estrategica.</t>
  </si>
  <si>
    <t>Se  tienen adoptada la  nueva Plataforma estratgica  mediante  resolucion nro 013 de 2021, donde  se identificaron  los  cambio en el  entorno;  identificaron Amenazas, oportunidades, debilidades  y fortalezas</t>
  </si>
  <si>
    <r>
      <t>No se  tienen  actualizados  los  riesgos  relacionados  con actos de  corrupcion;  el documento  actual data  de la   vigencia 2019; S</t>
    </r>
    <r>
      <rPr>
        <b/>
        <sz val="11"/>
        <color theme="4"/>
        <rFont val="Arial Narrow"/>
        <family val="2"/>
      </rPr>
      <t>in embargo se  esta  en proceso de  modernizacion,   de  acuerdo a la nueva   plataforma  estrategica.</t>
    </r>
  </si>
  <si>
    <t>En la presente  vigencia se  realiza  seguimiento a  traves de los  procesos d  auditorias.</t>
  </si>
  <si>
    <t>Se   informa al Comité de  Gerencia , de los  resultados  de las auditorias  y los  riesgos  que  se   evidencian, las  evidencias  reposan en las actas del  comité 1-12  vigencia 2021</t>
  </si>
  <si>
    <r>
      <t>Se  debe  fortallecer el liderazgo, trabajo en equipo   de algunos  lideres; S</t>
    </r>
    <r>
      <rPr>
        <b/>
        <sz val="11"/>
        <color theme="4"/>
        <rFont val="Arial Narrow"/>
        <family val="2"/>
      </rPr>
      <t>in embargo se  esta  en proceso de  modernizacion,   de  acuerdo a la nueva   plataforma  estrategica.</t>
    </r>
  </si>
  <si>
    <r>
      <t>No, las  acciones  se  estan  llevando a  cabo  por los  responsables;   en el primer semestre se  trabajo en la  culturizacion, empoderamiento y compromiso  de  los funcionarios; Logrando  avance;S</t>
    </r>
    <r>
      <rPr>
        <b/>
        <sz val="11"/>
        <color theme="4"/>
        <rFont val="Arial Narrow"/>
        <family val="2"/>
      </rPr>
      <t>in embargo se  esta  en proceso de  modernizacion,   de  acuerdo a la nueva   plataforma  estrategica.</t>
    </r>
  </si>
  <si>
    <r>
      <t>Se   elaboraron  planes de  emjoramiento, por parte de algunos  lideres, con la asesoria de control  interno,  formulando  acciones  para el  tratamiento de  debilidades  encontradas,  tranto de eliminar de  raiz  las  causas  que  diereon  origen a los problemas detectados; S</t>
    </r>
    <r>
      <rPr>
        <b/>
        <sz val="11"/>
        <color theme="4"/>
        <rFont val="Arial Narrow"/>
        <family val="2"/>
      </rPr>
      <t>in embargo se  esta  en proceso de  modernizacion,   de  acuerdo a la nueva   plataforma  estrategica.</t>
    </r>
  </si>
  <si>
    <r>
      <t>Se   tiene  documentado, aprobado, el procedimiento de  Rendicion de  cuentas PC-08-PR-01, 02 COMUNICACIONES  INSTITUCIONALES; mediante  resolucion 130 de 2019; S</t>
    </r>
    <r>
      <rPr>
        <b/>
        <sz val="11"/>
        <color theme="4"/>
        <rFont val="Arial Narrow"/>
        <family val="2"/>
      </rPr>
      <t>in embargo se  esta  en proceso de  modernizacion,   de  acuerdo a la nueva   plataforma  estrategica.</t>
    </r>
  </si>
  <si>
    <r>
      <t>Se   tiene  documentado, aprobado, Resoluicion  025 de 2020  POLITICA  DE  PARTICIPACION CIUDADANA  EN LA GESTION PUBLICA; S</t>
    </r>
    <r>
      <rPr>
        <b/>
        <sz val="11"/>
        <color theme="4"/>
        <rFont val="Arial Narrow"/>
        <family val="2"/>
      </rPr>
      <t>in embargo se  esta  en proceso de  modernizacion,   de  acuerdo a la nueva   plataforma  estrategica.</t>
    </r>
  </si>
  <si>
    <r>
      <t>No se tiene  documentado, ni aprobado , ni difundido   el  procedimiento; S</t>
    </r>
    <r>
      <rPr>
        <b/>
        <sz val="11"/>
        <color theme="4"/>
        <rFont val="Arial Narrow"/>
        <family val="2"/>
      </rPr>
      <t>in embargo se  esta  en proceso de  modernizacion,   de  acuerdo a la nueva   plataforma  estrategica.</t>
    </r>
  </si>
  <si>
    <r>
      <t>No se  cuenta  con una area de sistemas  que  apoye  el desempeño  Institucional, se  cuenta con un tecnico en  sistemas; S</t>
    </r>
    <r>
      <rPr>
        <b/>
        <sz val="11"/>
        <color theme="4"/>
        <rFont val="Arial Narrow"/>
        <family val="2"/>
      </rPr>
      <t>in embargo se  esta  en proceso de  modernizacion,   de  acuerdo a la nueva   plataforma  estrategica.</t>
    </r>
  </si>
  <si>
    <t>Seguimientos  permanentes por la  alta  direccion, monitoreando  el cumplimiento de la  Gestion; resultados de  auditorias; Se  puede  evideniar  en las  actas  de 1-12 2021</t>
  </si>
  <si>
    <t>Se   elaboran  los planes de  mejoramiento  fruto de  auditorias, y autoevaluaciones, y se realizan  seguimientos  permanentes al cumplimiento de  las  acciones. Se  puede  evidenciar   en los  informes de  seguimiento 2021</t>
  </si>
  <si>
    <t>Durante la  presente  vigencia se  ha realizado  un comité.</t>
  </si>
  <si>
    <t>Se   elaboran  los planes de  mejoramiento, para  eliminar  de  raiz  las  causas  que  dieron oriegen a los   problemas</t>
  </si>
  <si>
    <t>Se  esta  en proceso de  modernizacion,   de  acuerdo a la nueva   plataforma  estrategica.</t>
  </si>
  <si>
    <t>EMPRESA DE  RENOVACION Y DESARROLLO  URBANO DE  MANIZALES</t>
  </si>
  <si>
    <t>ENERO - JUNIO 2021,</t>
  </si>
  <si>
    <t>Se  realizo  un diagnostico a  comienzos  de la  presente  vigencia(2021)  y se ejecutaron acciones  por parte de la alta direccion; con el fin de que los  componentes  operen sistemicamente,  Se  llevaon a cabo  acciones  tendientes a  mejorar  el  componente del  TALENTO  HUMANO. pilar  fundamental  para   el desempeño organizacional. fruTo de  este  trabajo; da como resultado que en la  vigencia 2021 ( diciembre ) terminamos con un  avance del sistema  en 34%  y  al mes junio de 2021; con  el compromiso de la  alta  gerencia hemos  logrado avanzar  hasta un 64%. Se presente   continuar  fortaleciendo el sistema  en el segundo semestre con el rspaldo de la  alta direccion, generando   trabajo sistemico, con el  fin de   cumplir nuestra  plataforma  estrategica y mejorar  en el cumplimiento de  las  expectativas de  nuestros  clientes. Se  esta  trabajando en  el  proceso de  modernizacion,   de  acuerdo a la nueva   plataforma  estrategica. Reorientando a la  Institucion</t>
  </si>
  <si>
    <t>Si, toda vez  que  la interrelacion entre  los diferentes  elementos  y  la operacionalizacion de los  mismos efectivamente, logran  cumplir  el  proposito  planteado  por la entidad,  logrando  la eficiencia, eficacia y efectiva  de la entidad  en  cumplimiento de los fines del estado  y de nuestros  clientes internos  y externos</t>
  </si>
  <si>
    <t>Cuenta con las  diferentes lineas  de  defensa, que le permiten la  toma de deciosnes, con  el fin de  evitar  el  posible   riesgo de  desacierto  en la  toma de  decisiones.</t>
  </si>
  <si>
    <t>No se  cuenta  con un documento  actualizado  y aprobado  denominado  codigo de  etica, No se   tiene  documentado, aprobado, ni implementado   los planes  de  induccion, reinduccion, capacitacion, bienestar social  para  los  funcionarios  de la  entidad. La  rotacion del personal es muy alta. Se esta  trabajando  en la reformulacion de la    modernizacion, de  acuerdo a la nueva plataforma  estrategica.</t>
  </si>
  <si>
    <t>No se  tienen  actualizados  los  riesgos  relacionados  con actos de  corrupcion;  el documento  actual data  de la   vigencia 2019; Sin embargo se  esta  en proceso de  modernizacion,  de  acuerdo a la nueva   plataforma  estrategica.</t>
  </si>
  <si>
    <t>Se  estan  realizando seguimientos  permanentes por la  alta  direccion, monitoreando  el cumplimiento de la  Gestion; resultados de  auditorias; Se  puede  evideniar  en las  actas  de 1-12 2021</t>
  </si>
  <si>
    <t>Se  estan  realizando seguimientos  permanentes por la  alta  direccion, monitoreando  el cumplimiento de la  Gestion; resultados de  auditorias; Se  puede  evideniar  en las  actas  de 1-12 2021, se estan  llevando a  cabo  auditorias, levantamientos  de  planes de  mejoramiento  y seguiminto  al  cumplimiento de las  acciones.  Con el fin de monitorear  la eliminacion de las  causas  que  dieron origen a las  debilidades que se  presentan</t>
  </si>
  <si>
    <t>Se esta  trabajando en  el fortalecimiento de la  comunicación acertiva tanto  interna, como esterna, se esta  trabando en  la pagina web, con el objetivo que nuestros  clientes  tengan de  primera mano informacion confiable  y fidedigna. Se  esta  fortaleciendo la  Imaen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</si>
</sst>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b/>
      <sz val="11"/>
      <color theme="4"/>
      <name val="Arial Narrow"/>
      <family val="2"/>
    </font>
    <font>
      <sz val="18"/>
      <color theme="1"/>
      <name val="Calibri"/>
      <family val="2"/>
      <scheme val="minor"/>
    </font>
    <font>
      <sz val="16"/>
      <name val="Arial"/>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2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2" fillId="12" borderId="0" xfId="0" applyFont="1" applyFill="1" applyBorder="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0" fontId="57" fillId="0" borderId="9" xfId="0" applyFont="1" applyBorder="1" applyAlignment="1" applyProtection="1">
      <alignment horizontal="left" vertical="center" wrapText="1"/>
      <protection locked="0"/>
    </xf>
    <xf numFmtId="49" fontId="58" fillId="4" borderId="2" xfId="0" applyNumberFormat="1" applyFont="1" applyFill="1" applyBorder="1" applyAlignment="1" applyProtection="1">
      <alignment horizontal="center" vertical="center" wrapText="1"/>
      <protection locked="0"/>
    </xf>
    <xf numFmtId="49" fontId="58" fillId="4" borderId="84" xfId="0" applyNumberFormat="1" applyFont="1" applyFill="1" applyBorder="1" applyAlignment="1" applyProtection="1">
      <alignment horizontal="center" vertical="center" wrapText="1"/>
      <protection locked="0"/>
    </xf>
    <xf numFmtId="0" fontId="59" fillId="0" borderId="24" xfId="0" applyFont="1" applyFill="1" applyBorder="1" applyAlignment="1" applyProtection="1">
      <alignment horizontal="left" vertical="center" wrapText="1"/>
      <protection locked="0"/>
    </xf>
    <xf numFmtId="0" fontId="59" fillId="0" borderId="1" xfId="0" applyFont="1" applyFill="1" applyBorder="1" applyAlignment="1" applyProtection="1">
      <alignment horizontal="left" vertical="center" wrapText="1"/>
      <protection locked="0"/>
    </xf>
    <xf numFmtId="0" fontId="59" fillId="0" borderId="25" xfId="0" applyFont="1" applyFill="1" applyBorder="1" applyAlignment="1" applyProtection="1">
      <alignment horizontal="left" vertical="center" wrapText="1"/>
      <protection locked="0"/>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zoomScale="90" zoomScaleNormal="90" workbookViewId="0">
      <selection activeCell="C1" sqref="C1"/>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5" t="s">
        <v>0</v>
      </c>
      <c r="C2" s="196"/>
      <c r="D2" s="196"/>
      <c r="E2" s="196"/>
      <c r="F2" s="196"/>
      <c r="G2" s="196"/>
      <c r="H2" s="197"/>
    </row>
    <row r="3" spans="2:8" ht="65.25" customHeight="1" x14ac:dyDescent="0.2">
      <c r="B3" s="198" t="s">
        <v>1</v>
      </c>
      <c r="C3" s="199"/>
      <c r="D3" s="199"/>
      <c r="E3" s="199"/>
      <c r="F3" s="199"/>
      <c r="G3" s="199"/>
      <c r="H3" s="200"/>
    </row>
    <row r="4" spans="2:8" ht="82.5" customHeight="1" x14ac:dyDescent="0.2">
      <c r="B4" s="198"/>
      <c r="C4" s="199"/>
      <c r="D4" s="199"/>
      <c r="E4" s="199"/>
      <c r="F4" s="199"/>
      <c r="G4" s="199"/>
      <c r="H4" s="200"/>
    </row>
    <row r="5" spans="2:8" ht="21.75" customHeight="1" x14ac:dyDescent="0.2">
      <c r="B5" s="201" t="s">
        <v>2</v>
      </c>
      <c r="C5" s="202"/>
      <c r="D5" s="202"/>
      <c r="E5" s="202"/>
      <c r="F5" s="202"/>
      <c r="G5" s="202"/>
      <c r="H5" s="203"/>
    </row>
    <row r="6" spans="2:8" ht="42" customHeight="1" x14ac:dyDescent="0.2">
      <c r="B6" s="204" t="s">
        <v>3</v>
      </c>
      <c r="C6" s="205"/>
      <c r="D6" s="205"/>
      <c r="E6" s="205"/>
      <c r="F6" s="205"/>
      <c r="G6" s="205"/>
      <c r="H6" s="206"/>
    </row>
    <row r="7" spans="2:8" ht="14.25" customHeight="1" x14ac:dyDescent="0.2">
      <c r="B7" s="204"/>
      <c r="C7" s="205"/>
      <c r="D7" s="205"/>
      <c r="E7" s="205"/>
      <c r="F7" s="205"/>
      <c r="G7" s="205"/>
      <c r="H7" s="206"/>
    </row>
    <row r="8" spans="2:8" ht="12.75" customHeight="1" thickBot="1" x14ac:dyDescent="0.25">
      <c r="B8" s="57"/>
      <c r="C8" s="51"/>
      <c r="D8" s="67"/>
      <c r="E8" s="68"/>
      <c r="F8" s="68"/>
      <c r="G8" s="65"/>
      <c r="H8" s="66"/>
    </row>
    <row r="9" spans="2:8" ht="21" customHeight="1" thickTop="1" x14ac:dyDescent="0.2">
      <c r="B9" s="57"/>
      <c r="C9" s="207" t="s">
        <v>4</v>
      </c>
      <c r="D9" s="208"/>
      <c r="E9" s="209" t="s">
        <v>5</v>
      </c>
      <c r="F9" s="210"/>
      <c r="G9" s="51"/>
      <c r="H9" s="59"/>
    </row>
    <row r="10" spans="2:8" ht="37.5" customHeight="1" x14ac:dyDescent="0.2">
      <c r="B10" s="57"/>
      <c r="C10" s="187" t="s">
        <v>6</v>
      </c>
      <c r="D10" s="188"/>
      <c r="E10" s="189" t="s">
        <v>7</v>
      </c>
      <c r="F10" s="190"/>
      <c r="G10" s="51"/>
      <c r="H10" s="59"/>
    </row>
    <row r="11" spans="2:8" ht="39.75" customHeight="1" x14ac:dyDescent="0.2">
      <c r="B11" s="57"/>
      <c r="C11" s="191" t="s">
        <v>8</v>
      </c>
      <c r="D11" s="192"/>
      <c r="E11" s="168" t="s">
        <v>9</v>
      </c>
      <c r="F11" s="169"/>
      <c r="G11" s="51"/>
      <c r="H11" s="59"/>
    </row>
    <row r="12" spans="2:8" ht="59.25" customHeight="1" x14ac:dyDescent="0.2">
      <c r="B12" s="57"/>
      <c r="C12" s="191" t="s">
        <v>10</v>
      </c>
      <c r="D12" s="192"/>
      <c r="E12" s="193" t="s">
        <v>11</v>
      </c>
      <c r="F12" s="194"/>
      <c r="G12" s="51"/>
      <c r="H12" s="59"/>
    </row>
    <row r="13" spans="2:8" ht="33.75" customHeight="1" x14ac:dyDescent="0.2">
      <c r="B13" s="57"/>
      <c r="C13" s="166" t="s">
        <v>12</v>
      </c>
      <c r="D13" s="167"/>
      <c r="E13" s="168" t="s">
        <v>13</v>
      </c>
      <c r="F13" s="169"/>
      <c r="G13" s="51"/>
      <c r="H13" s="59"/>
    </row>
    <row r="14" spans="2:8" ht="19.5" customHeight="1" x14ac:dyDescent="0.2">
      <c r="B14" s="57"/>
      <c r="C14" s="63"/>
      <c r="D14" s="63"/>
      <c r="E14" s="64"/>
      <c r="F14" s="64"/>
      <c r="G14" s="51"/>
      <c r="H14" s="59"/>
    </row>
    <row r="15" spans="2:8" ht="37.5" customHeight="1" thickBot="1" x14ac:dyDescent="0.25">
      <c r="B15" s="162" t="s">
        <v>14</v>
      </c>
      <c r="C15" s="163"/>
      <c r="D15" s="163"/>
      <c r="E15" s="163"/>
      <c r="F15" s="163"/>
      <c r="G15" s="163"/>
      <c r="H15" s="164"/>
    </row>
    <row r="16" spans="2:8" ht="27.75" customHeight="1" thickBot="1" x14ac:dyDescent="0.25">
      <c r="B16" s="57"/>
      <c r="C16" s="170" t="s">
        <v>15</v>
      </c>
      <c r="D16" s="171"/>
      <c r="E16" s="171" t="s">
        <v>16</v>
      </c>
      <c r="F16" s="182"/>
      <c r="G16" s="51"/>
      <c r="H16" s="59"/>
    </row>
    <row r="17" spans="2:8" ht="27.75" customHeight="1" x14ac:dyDescent="0.2">
      <c r="B17" s="57"/>
      <c r="C17" s="183" t="s">
        <v>17</v>
      </c>
      <c r="D17" s="184"/>
      <c r="E17" s="185" t="s">
        <v>18</v>
      </c>
      <c r="F17" s="186"/>
      <c r="G17" s="101"/>
      <c r="H17" s="59"/>
    </row>
    <row r="18" spans="2:8" ht="41.25" customHeight="1" x14ac:dyDescent="0.2">
      <c r="B18" s="57"/>
      <c r="C18" s="172" t="s">
        <v>19</v>
      </c>
      <c r="D18" s="173"/>
      <c r="E18" s="174" t="s">
        <v>20</v>
      </c>
      <c r="F18" s="175"/>
      <c r="G18" s="102"/>
      <c r="H18" s="59"/>
    </row>
    <row r="19" spans="2:8" ht="37.5" customHeight="1" thickBot="1" x14ac:dyDescent="0.25">
      <c r="B19" s="57"/>
      <c r="C19" s="176" t="s">
        <v>21</v>
      </c>
      <c r="D19" s="177"/>
      <c r="E19" s="178" t="s">
        <v>22</v>
      </c>
      <c r="F19" s="179"/>
      <c r="G19" s="102"/>
      <c r="H19" s="59"/>
    </row>
    <row r="20" spans="2:8" ht="11.25" customHeight="1" x14ac:dyDescent="0.2">
      <c r="B20" s="52"/>
      <c r="C20" s="53"/>
      <c r="D20" s="53"/>
      <c r="E20" s="53"/>
      <c r="F20" s="53"/>
      <c r="G20" s="53"/>
      <c r="H20" s="54"/>
    </row>
    <row r="21" spans="2:8" ht="14.25" customHeight="1" x14ac:dyDescent="0.2">
      <c r="B21" s="55"/>
      <c r="C21" s="180"/>
      <c r="D21" s="180"/>
      <c r="E21" s="181"/>
      <c r="F21" s="181"/>
      <c r="G21" s="181"/>
      <c r="H21" s="56"/>
    </row>
    <row r="22" spans="2:8" ht="36" customHeight="1" x14ac:dyDescent="0.2">
      <c r="B22" s="162" t="s">
        <v>23</v>
      </c>
      <c r="C22" s="163"/>
      <c r="D22" s="163"/>
      <c r="E22" s="163"/>
      <c r="F22" s="163"/>
      <c r="G22" s="163"/>
      <c r="H22" s="164"/>
    </row>
    <row r="23" spans="2:8" ht="13.5" x14ac:dyDescent="0.2">
      <c r="B23" s="57"/>
      <c r="C23" s="58"/>
      <c r="D23" s="58"/>
      <c r="E23" s="165"/>
      <c r="F23" s="165"/>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rintOptions horizontalCentered="1" vertic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47" zoomScaleNormal="100" workbookViewId="0">
      <selection activeCell="H50" sqref="H50"/>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49.5" customHeight="1" x14ac:dyDescent="0.25">
      <c r="B14" s="211" t="s">
        <v>24</v>
      </c>
      <c r="C14" s="211"/>
      <c r="D14" s="211"/>
      <c r="E14" s="211"/>
      <c r="F14" s="211"/>
      <c r="G14" s="211"/>
      <c r="H14" s="211"/>
      <c r="I14" s="211"/>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3" t="str">
        <f>1&amp;E16</f>
        <v>1a</v>
      </c>
      <c r="B16" s="227" t="s">
        <v>31</v>
      </c>
      <c r="C16" s="237" t="s">
        <v>32</v>
      </c>
      <c r="D16" s="224" t="s">
        <v>33</v>
      </c>
      <c r="E16" s="81" t="s">
        <v>34</v>
      </c>
      <c r="F16" s="82" t="s">
        <v>35</v>
      </c>
      <c r="G16" s="112" t="s">
        <v>38</v>
      </c>
      <c r="H16" s="113" t="s">
        <v>190</v>
      </c>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82.5" x14ac:dyDescent="0.25">
      <c r="A17" s="103" t="str">
        <f t="shared" ref="A17:A27" si="1">1&amp;E17</f>
        <v>1b</v>
      </c>
      <c r="B17" s="228"/>
      <c r="C17" s="238"/>
      <c r="D17" s="225"/>
      <c r="E17" s="83" t="s">
        <v>36</v>
      </c>
      <c r="F17" s="84" t="s">
        <v>37</v>
      </c>
      <c r="G17" s="114" t="s">
        <v>75</v>
      </c>
      <c r="H17" s="115" t="s">
        <v>198</v>
      </c>
      <c r="I17" s="106" t="str">
        <f t="shared" ref="I17:I59" si="2">+IF(G17="Si","Mantenimiento del control",IF(G17="En proceso","Oportunidad de mejora","Deficiencia de control"))</f>
        <v>Oportunidad de mejora</v>
      </c>
      <c r="J17" s="107">
        <f t="shared" si="0"/>
        <v>10</v>
      </c>
      <c r="K17" s="105">
        <v>0.1234</v>
      </c>
      <c r="L17" s="105">
        <f t="shared" ref="L17:L59" si="3">+J17+K17</f>
        <v>10.1234</v>
      </c>
    </row>
    <row r="18" spans="1:32" s="49" customFormat="1" ht="64.5" customHeight="1" x14ac:dyDescent="0.25">
      <c r="A18" s="103" t="str">
        <f t="shared" si="1"/>
        <v>1c</v>
      </c>
      <c r="B18" s="228"/>
      <c r="C18" s="238"/>
      <c r="D18" s="225"/>
      <c r="E18" s="83" t="s">
        <v>39</v>
      </c>
      <c r="F18" s="85" t="s">
        <v>40</v>
      </c>
      <c r="G18" s="116" t="s">
        <v>38</v>
      </c>
      <c r="H18" s="117" t="s">
        <v>191</v>
      </c>
      <c r="I18" s="108" t="str">
        <f t="shared" si="2"/>
        <v>Mantenimiento del control</v>
      </c>
      <c r="J18" s="107">
        <f t="shared" si="0"/>
        <v>20</v>
      </c>
      <c r="K18" s="105">
        <v>0.12345</v>
      </c>
      <c r="L18" s="105">
        <f t="shared" si="3"/>
        <v>20.123449999999998</v>
      </c>
    </row>
    <row r="19" spans="1:32" s="49" customFormat="1" ht="79.5" customHeight="1" x14ac:dyDescent="0.25">
      <c r="A19" s="103" t="str">
        <f t="shared" si="1"/>
        <v>1d</v>
      </c>
      <c r="B19" s="228"/>
      <c r="C19" s="238"/>
      <c r="D19" s="225"/>
      <c r="E19" s="83" t="s">
        <v>41</v>
      </c>
      <c r="F19" s="85" t="s">
        <v>42</v>
      </c>
      <c r="G19" s="116" t="s">
        <v>38</v>
      </c>
      <c r="H19" s="117" t="s">
        <v>192</v>
      </c>
      <c r="I19" s="108" t="str">
        <f t="shared" si="2"/>
        <v>Mantenimiento del control</v>
      </c>
      <c r="J19" s="107">
        <f t="shared" si="0"/>
        <v>20</v>
      </c>
      <c r="K19" s="105">
        <v>0.123456</v>
      </c>
      <c r="L19" s="105">
        <f t="shared" si="3"/>
        <v>20.123456000000001</v>
      </c>
    </row>
    <row r="20" spans="1:32" s="49" customFormat="1" ht="75.75" customHeight="1" x14ac:dyDescent="0.25">
      <c r="A20" s="103" t="str">
        <f t="shared" si="1"/>
        <v>1e</v>
      </c>
      <c r="B20" s="228"/>
      <c r="C20" s="238"/>
      <c r="D20" s="225"/>
      <c r="E20" s="83" t="s">
        <v>43</v>
      </c>
      <c r="F20" s="85" t="s">
        <v>44</v>
      </c>
      <c r="G20" s="116" t="s">
        <v>38</v>
      </c>
      <c r="H20" s="117" t="s">
        <v>193</v>
      </c>
      <c r="I20" s="108" t="str">
        <f t="shared" si="2"/>
        <v>Mantenimiento del control</v>
      </c>
      <c r="J20" s="107">
        <f t="shared" si="0"/>
        <v>20</v>
      </c>
      <c r="K20" s="105">
        <v>0.12345678</v>
      </c>
      <c r="L20" s="105">
        <f t="shared" si="3"/>
        <v>20.123456780000001</v>
      </c>
    </row>
    <row r="21" spans="1:32" s="49" customFormat="1" ht="63.75" customHeight="1" x14ac:dyDescent="0.25">
      <c r="A21" s="103" t="str">
        <f t="shared" si="1"/>
        <v>1f</v>
      </c>
      <c r="B21" s="228"/>
      <c r="C21" s="238"/>
      <c r="D21" s="225"/>
      <c r="E21" s="83" t="s">
        <v>45</v>
      </c>
      <c r="F21" s="85" t="s">
        <v>46</v>
      </c>
      <c r="G21" s="116" t="s">
        <v>38</v>
      </c>
      <c r="H21" s="117" t="s">
        <v>194</v>
      </c>
      <c r="I21" s="108" t="str">
        <f t="shared" si="2"/>
        <v>Mantenimiento del control</v>
      </c>
      <c r="J21" s="107">
        <f t="shared" si="0"/>
        <v>20</v>
      </c>
      <c r="K21" s="105">
        <v>0.123456789</v>
      </c>
      <c r="L21" s="105">
        <f t="shared" si="3"/>
        <v>20.123456788999999</v>
      </c>
    </row>
    <row r="22" spans="1:32" s="49" customFormat="1" ht="92.25" customHeight="1" x14ac:dyDescent="0.25">
      <c r="A22" s="103" t="str">
        <f t="shared" si="1"/>
        <v>1g</v>
      </c>
      <c r="B22" s="228"/>
      <c r="C22" s="238"/>
      <c r="D22" s="225"/>
      <c r="E22" s="83" t="s">
        <v>47</v>
      </c>
      <c r="F22" s="85" t="s">
        <v>48</v>
      </c>
      <c r="G22" s="116" t="s">
        <v>38</v>
      </c>
      <c r="H22" s="117" t="s">
        <v>195</v>
      </c>
      <c r="I22" s="108" t="str">
        <f t="shared" si="2"/>
        <v>Mantenimiento del control</v>
      </c>
      <c r="J22" s="107">
        <f t="shared" si="0"/>
        <v>20</v>
      </c>
      <c r="K22" s="105">
        <v>0.12345678910000001</v>
      </c>
      <c r="L22" s="105">
        <f t="shared" si="3"/>
        <v>20.1234567891</v>
      </c>
    </row>
    <row r="23" spans="1:32" s="49" customFormat="1" ht="116.25" customHeight="1" x14ac:dyDescent="0.25">
      <c r="A23" s="103" t="str">
        <f t="shared" si="1"/>
        <v>1h</v>
      </c>
      <c r="B23" s="228"/>
      <c r="C23" s="238"/>
      <c r="D23" s="225"/>
      <c r="E23" s="83" t="s">
        <v>49</v>
      </c>
      <c r="F23" s="85" t="s">
        <v>50</v>
      </c>
      <c r="G23" s="116" t="s">
        <v>75</v>
      </c>
      <c r="H23" s="117" t="s">
        <v>196</v>
      </c>
      <c r="I23" s="108" t="str">
        <f t="shared" si="2"/>
        <v>Oportunidad de mejora</v>
      </c>
      <c r="J23" s="107">
        <f t="shared" si="0"/>
        <v>10</v>
      </c>
      <c r="K23" s="105">
        <v>0.12345678911999999</v>
      </c>
      <c r="L23" s="105">
        <f t="shared" si="3"/>
        <v>10.12345678912</v>
      </c>
    </row>
    <row r="24" spans="1:32" s="49" customFormat="1" ht="103.5" customHeight="1" x14ac:dyDescent="0.25">
      <c r="A24" s="103" t="str">
        <f t="shared" si="1"/>
        <v>1i</v>
      </c>
      <c r="B24" s="228"/>
      <c r="C24" s="238"/>
      <c r="D24" s="225"/>
      <c r="E24" s="83" t="s">
        <v>51</v>
      </c>
      <c r="F24" s="85" t="s">
        <v>52</v>
      </c>
      <c r="G24" s="116" t="s">
        <v>75</v>
      </c>
      <c r="H24" s="117" t="s">
        <v>197</v>
      </c>
      <c r="I24" s="108" t="str">
        <f t="shared" si="2"/>
        <v>Oportunidad de mejora</v>
      </c>
      <c r="J24" s="107">
        <f t="shared" si="0"/>
        <v>10</v>
      </c>
      <c r="K24" s="105">
        <v>0.123456789123</v>
      </c>
      <c r="L24" s="105">
        <f t="shared" si="3"/>
        <v>10.123456789123001</v>
      </c>
    </row>
    <row r="25" spans="1:32" s="49" customFormat="1" ht="85.5" customHeight="1" x14ac:dyDescent="0.25">
      <c r="A25" s="103" t="str">
        <f t="shared" si="1"/>
        <v>1j</v>
      </c>
      <c r="B25" s="228"/>
      <c r="C25" s="238"/>
      <c r="D25" s="225"/>
      <c r="E25" s="83" t="s">
        <v>53</v>
      </c>
      <c r="F25" s="85" t="s">
        <v>54</v>
      </c>
      <c r="G25" s="116" t="s">
        <v>75</v>
      </c>
      <c r="H25" s="117" t="s">
        <v>197</v>
      </c>
      <c r="I25" s="108" t="str">
        <f t="shared" si="2"/>
        <v>Oportunidad de mejora</v>
      </c>
      <c r="J25" s="107">
        <f t="shared" si="0"/>
        <v>10</v>
      </c>
      <c r="K25" s="105">
        <v>0.1234567891234</v>
      </c>
      <c r="L25" s="105">
        <f t="shared" si="3"/>
        <v>10.1234567891234</v>
      </c>
    </row>
    <row r="26" spans="1:32" s="49" customFormat="1" ht="84.75" customHeight="1" x14ac:dyDescent="0.25">
      <c r="A26" s="103" t="str">
        <f t="shared" si="1"/>
        <v>1k</v>
      </c>
      <c r="B26" s="228"/>
      <c r="C26" s="238"/>
      <c r="D26" s="225"/>
      <c r="E26" s="83" t="s">
        <v>55</v>
      </c>
      <c r="F26" s="85" t="s">
        <v>56</v>
      </c>
      <c r="G26" s="116" t="s">
        <v>75</v>
      </c>
      <c r="H26" s="117" t="s">
        <v>199</v>
      </c>
      <c r="I26" s="108" t="str">
        <f t="shared" si="2"/>
        <v>Oportunidad de mejora</v>
      </c>
      <c r="J26" s="107">
        <f t="shared" si="0"/>
        <v>10</v>
      </c>
      <c r="K26" s="105">
        <v>0.12345678912345</v>
      </c>
      <c r="L26" s="105">
        <f t="shared" si="3"/>
        <v>10.12345678912345</v>
      </c>
    </row>
    <row r="27" spans="1:32" s="49" customFormat="1" ht="110.25" customHeight="1" thickBot="1" x14ac:dyDescent="0.3">
      <c r="A27" s="103" t="str">
        <f t="shared" si="1"/>
        <v>1l</v>
      </c>
      <c r="B27" s="229"/>
      <c r="C27" s="239"/>
      <c r="D27" s="226"/>
      <c r="E27" s="86" t="s">
        <v>57</v>
      </c>
      <c r="F27" s="87" t="s">
        <v>58</v>
      </c>
      <c r="G27" s="118" t="s">
        <v>75</v>
      </c>
      <c r="H27" s="316" t="s">
        <v>200</v>
      </c>
      <c r="I27" s="109" t="str">
        <f t="shared" si="2"/>
        <v>Oportunidad de mejora</v>
      </c>
      <c r="J27" s="107">
        <f t="shared" si="0"/>
        <v>10</v>
      </c>
      <c r="K27" s="105">
        <v>0.12345678912345601</v>
      </c>
      <c r="L27" s="105">
        <f t="shared" si="3"/>
        <v>10.123456789123455</v>
      </c>
    </row>
    <row r="28" spans="1:32" s="49" customFormat="1" ht="86.25" customHeight="1" x14ac:dyDescent="0.25">
      <c r="A28" s="103" t="str">
        <f>2&amp;E28</f>
        <v>2a</v>
      </c>
      <c r="B28" s="230" t="s">
        <v>59</v>
      </c>
      <c r="C28" s="240" t="s">
        <v>60</v>
      </c>
      <c r="D28" s="233" t="s">
        <v>61</v>
      </c>
      <c r="E28" s="81" t="s">
        <v>34</v>
      </c>
      <c r="F28" s="82" t="s">
        <v>62</v>
      </c>
      <c r="G28" s="112" t="s">
        <v>38</v>
      </c>
      <c r="H28" s="117" t="s">
        <v>201</v>
      </c>
      <c r="I28" s="104" t="str">
        <f t="shared" si="2"/>
        <v>Mantenimiento del control</v>
      </c>
      <c r="J28" s="105">
        <f>+IF(G28="Si",40,IF(G28="En proceso",30,20))</f>
        <v>40</v>
      </c>
      <c r="K28" s="105">
        <v>0.23</v>
      </c>
      <c r="L28" s="105">
        <f t="shared" si="3"/>
        <v>40.229999999999997</v>
      </c>
    </row>
    <row r="29" spans="1:32" s="49" customFormat="1" ht="82.5" x14ac:dyDescent="0.25">
      <c r="A29" s="103" t="str">
        <f t="shared" ref="A29:A31" si="4">2&amp;E29</f>
        <v>2b</v>
      </c>
      <c r="B29" s="231"/>
      <c r="C29" s="241"/>
      <c r="D29" s="234"/>
      <c r="E29" s="83" t="s">
        <v>36</v>
      </c>
      <c r="F29" s="85" t="s">
        <v>63</v>
      </c>
      <c r="G29" s="116" t="s">
        <v>38</v>
      </c>
      <c r="H29" s="117" t="s">
        <v>201</v>
      </c>
      <c r="I29" s="108" t="str">
        <f t="shared" si="2"/>
        <v>Mantenimiento del control</v>
      </c>
      <c r="J29" s="105">
        <f>+IF(G29="Si",40,IF(G29="En proceso",30,20))</f>
        <v>40</v>
      </c>
      <c r="K29" s="105">
        <v>0.23400000000000001</v>
      </c>
      <c r="L29" s="105">
        <f t="shared" si="3"/>
        <v>40.234000000000002</v>
      </c>
    </row>
    <row r="30" spans="1:32" s="49" customFormat="1" ht="111" customHeight="1" x14ac:dyDescent="0.25">
      <c r="A30" s="103" t="str">
        <f t="shared" si="4"/>
        <v>2c</v>
      </c>
      <c r="B30" s="231"/>
      <c r="C30" s="241"/>
      <c r="D30" s="234"/>
      <c r="E30" s="83" t="s">
        <v>39</v>
      </c>
      <c r="F30" s="85" t="s">
        <v>64</v>
      </c>
      <c r="G30" s="116" t="s">
        <v>75</v>
      </c>
      <c r="H30" s="117" t="s">
        <v>202</v>
      </c>
      <c r="I30" s="108" t="str">
        <f t="shared" si="2"/>
        <v>Oportunidad de mejora</v>
      </c>
      <c r="J30" s="105">
        <f>+IF(G30="Si",40,IF(G30="En proceso",30,20))</f>
        <v>30</v>
      </c>
      <c r="K30" s="105">
        <v>0.23449999999999999</v>
      </c>
      <c r="L30" s="105">
        <f t="shared" si="3"/>
        <v>30.234500000000001</v>
      </c>
    </row>
    <row r="31" spans="1:32" s="49" customFormat="1" ht="99.75" thickBot="1" x14ac:dyDescent="0.3">
      <c r="A31" s="103" t="str">
        <f t="shared" si="4"/>
        <v>2d</v>
      </c>
      <c r="B31" s="232"/>
      <c r="C31" s="242"/>
      <c r="D31" s="235"/>
      <c r="E31" s="86" t="s">
        <v>41</v>
      </c>
      <c r="F31" s="87" t="s">
        <v>65</v>
      </c>
      <c r="G31" s="118" t="s">
        <v>75</v>
      </c>
      <c r="H31" s="117" t="s">
        <v>202</v>
      </c>
      <c r="I31" s="109" t="str">
        <f t="shared" si="2"/>
        <v>Oportunidad de mejora</v>
      </c>
      <c r="J31" s="105">
        <f>+IF(G31="Si",40,IF(G31="En proceso",30,20))</f>
        <v>30</v>
      </c>
      <c r="K31" s="105">
        <v>0.23455999999999999</v>
      </c>
      <c r="L31" s="105">
        <f t="shared" si="3"/>
        <v>30.234559999999998</v>
      </c>
    </row>
    <row r="32" spans="1:32" s="49" customFormat="1" ht="49.5" customHeight="1" x14ac:dyDescent="0.25">
      <c r="A32" s="103" t="str">
        <f>3&amp;E32</f>
        <v>3a</v>
      </c>
      <c r="B32" s="252" t="s">
        <v>66</v>
      </c>
      <c r="C32" s="252" t="s">
        <v>60</v>
      </c>
      <c r="D32" s="253" t="s">
        <v>67</v>
      </c>
      <c r="E32" s="88" t="s">
        <v>34</v>
      </c>
      <c r="F32" s="85" t="s">
        <v>68</v>
      </c>
      <c r="G32" s="116" t="s">
        <v>38</v>
      </c>
      <c r="H32" s="117" t="s">
        <v>203</v>
      </c>
      <c r="I32" s="108" t="str">
        <f t="shared" si="2"/>
        <v>Mantenimiento del control</v>
      </c>
      <c r="J32" s="105">
        <f t="shared" ref="J32:J37" si="5">+IF(G32="Si",40,IF(G32="En proceso",30,20))</f>
        <v>40</v>
      </c>
      <c r="K32" s="110">
        <v>0.234567</v>
      </c>
      <c r="L32" s="105">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99" customHeight="1" x14ac:dyDescent="0.25">
      <c r="A33" s="103" t="str">
        <f t="shared" ref="A33:A34" si="7">3&amp;E33</f>
        <v>3b</v>
      </c>
      <c r="B33" s="252"/>
      <c r="C33" s="252"/>
      <c r="D33" s="253"/>
      <c r="E33" s="88" t="s">
        <v>36</v>
      </c>
      <c r="F33" s="85" t="s">
        <v>69</v>
      </c>
      <c r="G33" s="116" t="s">
        <v>38</v>
      </c>
      <c r="H33" s="117" t="s">
        <v>204</v>
      </c>
      <c r="I33" s="108" t="str">
        <f t="shared" si="2"/>
        <v>Mantenimiento del control</v>
      </c>
      <c r="J33" s="105">
        <f t="shared" si="5"/>
        <v>40</v>
      </c>
      <c r="K33" s="110">
        <v>0.23456779999999999</v>
      </c>
      <c r="L33" s="105">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85.5" customHeight="1" thickBot="1" x14ac:dyDescent="0.3">
      <c r="A34" s="103" t="str">
        <f t="shared" si="7"/>
        <v>3c</v>
      </c>
      <c r="B34" s="252"/>
      <c r="C34" s="252"/>
      <c r="D34" s="253"/>
      <c r="E34" s="88" t="s">
        <v>39</v>
      </c>
      <c r="F34" s="85" t="s">
        <v>70</v>
      </c>
      <c r="G34" s="116" t="s">
        <v>75</v>
      </c>
      <c r="H34" s="117" t="s">
        <v>202</v>
      </c>
      <c r="I34" s="108" t="str">
        <f t="shared" si="2"/>
        <v>Oportunidad de mejora</v>
      </c>
      <c r="J34" s="105">
        <f t="shared" si="5"/>
        <v>30</v>
      </c>
      <c r="K34" s="110">
        <v>0.23456789</v>
      </c>
      <c r="L34" s="105">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08" customHeight="1" x14ac:dyDescent="0.25">
      <c r="A35" s="103" t="str">
        <f>4&amp;E35</f>
        <v>4a</v>
      </c>
      <c r="B35" s="254" t="s">
        <v>71</v>
      </c>
      <c r="C35" s="241" t="s">
        <v>60</v>
      </c>
      <c r="D35" s="234" t="s">
        <v>72</v>
      </c>
      <c r="E35" s="81" t="s">
        <v>34</v>
      </c>
      <c r="F35" s="82" t="s">
        <v>73</v>
      </c>
      <c r="G35" s="112" t="s">
        <v>75</v>
      </c>
      <c r="H35" s="117" t="s">
        <v>202</v>
      </c>
      <c r="I35" s="104" t="str">
        <f t="shared" si="2"/>
        <v>Oportunidad de mejora</v>
      </c>
      <c r="J35" s="105">
        <f t="shared" si="5"/>
        <v>30</v>
      </c>
      <c r="K35" s="110">
        <v>0.23456789119999999</v>
      </c>
      <c r="L35" s="105">
        <f t="shared" si="6"/>
        <v>30.234567891200001</v>
      </c>
      <c r="M35" s="48"/>
      <c r="N35" s="48"/>
      <c r="O35" s="48"/>
      <c r="P35" s="48"/>
      <c r="Q35" s="48"/>
    </row>
    <row r="36" spans="1:32" s="49" customFormat="1" ht="97.5" customHeight="1" x14ac:dyDescent="0.25">
      <c r="A36" s="103" t="str">
        <f t="shared" ref="A36:A37" si="8">4&amp;E36</f>
        <v>4b</v>
      </c>
      <c r="B36" s="254"/>
      <c r="C36" s="241"/>
      <c r="D36" s="234"/>
      <c r="E36" s="83" t="s">
        <v>36</v>
      </c>
      <c r="F36" s="85" t="s">
        <v>74</v>
      </c>
      <c r="G36" s="116" t="s">
        <v>75</v>
      </c>
      <c r="H36" s="117" t="s">
        <v>205</v>
      </c>
      <c r="I36" s="108" t="str">
        <f t="shared" si="2"/>
        <v>Oportunidad de mejora</v>
      </c>
      <c r="J36" s="105">
        <f t="shared" si="5"/>
        <v>30</v>
      </c>
      <c r="K36" s="110">
        <v>0.23456789122999999</v>
      </c>
      <c r="L36" s="105">
        <f t="shared" si="6"/>
        <v>30.23456789123</v>
      </c>
      <c r="M36" s="48"/>
      <c r="N36" s="48"/>
      <c r="O36" s="48"/>
      <c r="P36" s="48"/>
      <c r="Q36" s="48"/>
    </row>
    <row r="37" spans="1:32" s="49" customFormat="1" ht="120.75" customHeight="1" thickBot="1" x14ac:dyDescent="0.3">
      <c r="A37" s="103" t="str">
        <f t="shared" si="8"/>
        <v>4c</v>
      </c>
      <c r="B37" s="254"/>
      <c r="C37" s="241"/>
      <c r="D37" s="234"/>
      <c r="E37" s="83" t="s">
        <v>39</v>
      </c>
      <c r="F37" s="85" t="s">
        <v>76</v>
      </c>
      <c r="G37" s="116" t="s">
        <v>75</v>
      </c>
      <c r="H37" s="117" t="s">
        <v>206</v>
      </c>
      <c r="I37" s="108" t="str">
        <f t="shared" si="2"/>
        <v>Oportunidad de mejora</v>
      </c>
      <c r="J37" s="105">
        <f t="shared" si="5"/>
        <v>30</v>
      </c>
      <c r="K37" s="110">
        <v>0.23456789123399999</v>
      </c>
      <c r="L37" s="105">
        <f t="shared" si="6"/>
        <v>30.234567891234001</v>
      </c>
      <c r="M37" s="48"/>
      <c r="N37" s="48"/>
      <c r="O37" s="48"/>
      <c r="P37" s="48"/>
      <c r="Q37" s="48"/>
    </row>
    <row r="38" spans="1:32" s="49" customFormat="1" ht="141.75" customHeight="1" x14ac:dyDescent="0.25">
      <c r="A38" s="103" t="str">
        <f>5&amp;E38</f>
        <v>5a</v>
      </c>
      <c r="B38" s="255" t="s">
        <v>77</v>
      </c>
      <c r="C38" s="243" t="s">
        <v>78</v>
      </c>
      <c r="D38" s="258" t="s">
        <v>79</v>
      </c>
      <c r="E38" s="81" t="s">
        <v>34</v>
      </c>
      <c r="F38" s="89" t="s">
        <v>80</v>
      </c>
      <c r="G38" s="119" t="s">
        <v>75</v>
      </c>
      <c r="H38" s="117" t="s">
        <v>207</v>
      </c>
      <c r="I38" s="111" t="str">
        <f t="shared" si="2"/>
        <v>Oportunidad de mejora</v>
      </c>
      <c r="J38" s="105">
        <f>+IF(G38="Si",60,IF(G38="En proceso",50,40))</f>
        <v>50</v>
      </c>
      <c r="K38" s="105">
        <v>0.31</v>
      </c>
      <c r="L38" s="105">
        <f t="shared" si="3"/>
        <v>50.31</v>
      </c>
    </row>
    <row r="39" spans="1:32" s="49" customFormat="1" ht="99" x14ac:dyDescent="0.25">
      <c r="A39" s="103" t="str">
        <f t="shared" ref="A39:A42" si="9">5&amp;E39</f>
        <v>5b</v>
      </c>
      <c r="B39" s="256"/>
      <c r="C39" s="244"/>
      <c r="D39" s="259"/>
      <c r="E39" s="83" t="s">
        <v>36</v>
      </c>
      <c r="F39" s="85" t="s">
        <v>81</v>
      </c>
      <c r="G39" s="116" t="s">
        <v>75</v>
      </c>
      <c r="H39" s="117" t="s">
        <v>202</v>
      </c>
      <c r="I39" s="108" t="str">
        <f t="shared" si="2"/>
        <v>Oportunidad de mejora</v>
      </c>
      <c r="J39" s="105">
        <f>+IF(G39="Si",60,IF(G39="En proceso",50,40))</f>
        <v>50</v>
      </c>
      <c r="K39" s="105">
        <v>0.32300000000000001</v>
      </c>
      <c r="L39" s="105">
        <f t="shared" si="3"/>
        <v>50.323</v>
      </c>
    </row>
    <row r="40" spans="1:32" s="49" customFormat="1" ht="99" x14ac:dyDescent="0.25">
      <c r="A40" s="103" t="str">
        <f t="shared" si="9"/>
        <v>5c</v>
      </c>
      <c r="B40" s="256"/>
      <c r="C40" s="244"/>
      <c r="D40" s="259"/>
      <c r="E40" s="83" t="s">
        <v>39</v>
      </c>
      <c r="F40" s="85" t="s">
        <v>82</v>
      </c>
      <c r="G40" s="116" t="s">
        <v>75</v>
      </c>
      <c r="H40" s="117" t="s">
        <v>202</v>
      </c>
      <c r="I40" s="108" t="str">
        <f t="shared" si="2"/>
        <v>Oportunidad de mejora</v>
      </c>
      <c r="J40" s="105">
        <f>+IF(G40="Si",60,IF(G40="En proceso",50,40))</f>
        <v>50</v>
      </c>
      <c r="K40" s="105">
        <v>0.32400000000000001</v>
      </c>
      <c r="L40" s="105">
        <f t="shared" si="3"/>
        <v>50.323999999999998</v>
      </c>
    </row>
    <row r="41" spans="1:32" s="49" customFormat="1" ht="99" x14ac:dyDescent="0.25">
      <c r="A41" s="103" t="str">
        <f t="shared" si="9"/>
        <v>5d</v>
      </c>
      <c r="B41" s="256"/>
      <c r="C41" s="244"/>
      <c r="D41" s="259"/>
      <c r="E41" s="83" t="s">
        <v>41</v>
      </c>
      <c r="F41" s="85" t="s">
        <v>83</v>
      </c>
      <c r="G41" s="116" t="s">
        <v>75</v>
      </c>
      <c r="H41" s="117" t="s">
        <v>202</v>
      </c>
      <c r="I41" s="108" t="str">
        <f t="shared" si="2"/>
        <v>Oportunidad de mejora</v>
      </c>
      <c r="J41" s="105">
        <f>+IF(G41="Si",60,IF(G41="En proceso",50,40))</f>
        <v>50</v>
      </c>
      <c r="K41" s="105">
        <v>0.32500000000000001</v>
      </c>
      <c r="L41" s="105">
        <f t="shared" si="3"/>
        <v>50.325000000000003</v>
      </c>
    </row>
    <row r="42" spans="1:32" s="49" customFormat="1" ht="99.75" thickBot="1" x14ac:dyDescent="0.3">
      <c r="A42" s="103" t="str">
        <f t="shared" si="9"/>
        <v>5e</v>
      </c>
      <c r="B42" s="257"/>
      <c r="C42" s="245"/>
      <c r="D42" s="260"/>
      <c r="E42" s="86" t="s">
        <v>43</v>
      </c>
      <c r="F42" s="87" t="s">
        <v>84</v>
      </c>
      <c r="G42" s="118" t="s">
        <v>75</v>
      </c>
      <c r="H42" s="117" t="s">
        <v>202</v>
      </c>
      <c r="I42" s="109" t="str">
        <f t="shared" si="2"/>
        <v>Oportunidad de mejora</v>
      </c>
      <c r="J42" s="105">
        <f>+IF(G42="Si",60,IF(G42="En proceso",50,40))</f>
        <v>50</v>
      </c>
      <c r="K42" s="105">
        <v>0.32600000000000001</v>
      </c>
      <c r="L42" s="105">
        <f t="shared" si="3"/>
        <v>50.326000000000001</v>
      </c>
    </row>
    <row r="43" spans="1:32" s="49" customFormat="1" ht="114" customHeight="1" x14ac:dyDescent="0.25">
      <c r="A43" s="103" t="str">
        <f>6&amp;E43</f>
        <v>6a</v>
      </c>
      <c r="B43" s="215" t="s">
        <v>85</v>
      </c>
      <c r="C43" s="246" t="s">
        <v>86</v>
      </c>
      <c r="D43" s="212" t="s">
        <v>87</v>
      </c>
      <c r="E43" s="81" t="s">
        <v>34</v>
      </c>
      <c r="F43" s="82" t="s">
        <v>88</v>
      </c>
      <c r="G43" s="112" t="s">
        <v>75</v>
      </c>
      <c r="H43" s="117" t="s">
        <v>208</v>
      </c>
      <c r="I43" s="104" t="str">
        <f t="shared" si="2"/>
        <v>Oportunidad de mejora</v>
      </c>
      <c r="J43" s="105">
        <f t="shared" ref="J43:J49" si="10">+IF(G43="Si",80,IF(G43="En proceso",70,60))</f>
        <v>70</v>
      </c>
      <c r="K43" s="105">
        <v>0.41199999999999998</v>
      </c>
      <c r="L43" s="105">
        <f t="shared" si="3"/>
        <v>70.412000000000006</v>
      </c>
    </row>
    <row r="44" spans="1:32" s="49" customFormat="1" ht="96.75" customHeight="1" x14ac:dyDescent="0.25">
      <c r="A44" s="103" t="str">
        <f t="shared" ref="A44:A49" si="11">6&amp;E44</f>
        <v>6b</v>
      </c>
      <c r="B44" s="216"/>
      <c r="C44" s="247"/>
      <c r="D44" s="213"/>
      <c r="E44" s="83" t="s">
        <v>36</v>
      </c>
      <c r="F44" s="85" t="s">
        <v>89</v>
      </c>
      <c r="G44" s="116" t="s">
        <v>75</v>
      </c>
      <c r="H44" s="117" t="s">
        <v>209</v>
      </c>
      <c r="I44" s="108" t="str">
        <f t="shared" si="2"/>
        <v>Oportunidad de mejora</v>
      </c>
      <c r="J44" s="105">
        <f t="shared" si="10"/>
        <v>70</v>
      </c>
      <c r="K44" s="105">
        <v>0.4123</v>
      </c>
      <c r="L44" s="105">
        <f t="shared" si="3"/>
        <v>70.412300000000002</v>
      </c>
    </row>
    <row r="45" spans="1:32" s="49" customFormat="1" ht="66" x14ac:dyDescent="0.25">
      <c r="A45" s="103" t="str">
        <f t="shared" si="11"/>
        <v>6c</v>
      </c>
      <c r="B45" s="216"/>
      <c r="C45" s="247"/>
      <c r="D45" s="213"/>
      <c r="E45" s="83" t="s">
        <v>39</v>
      </c>
      <c r="F45" s="85" t="s">
        <v>90</v>
      </c>
      <c r="G45" s="116" t="s">
        <v>75</v>
      </c>
      <c r="H45" s="117" t="s">
        <v>210</v>
      </c>
      <c r="I45" s="108" t="str">
        <f t="shared" si="2"/>
        <v>Oportunidad de mejora</v>
      </c>
      <c r="J45" s="105">
        <f t="shared" si="10"/>
        <v>70</v>
      </c>
      <c r="K45" s="105">
        <v>0.41233999999999998</v>
      </c>
      <c r="L45" s="105">
        <f t="shared" si="3"/>
        <v>70.41234</v>
      </c>
    </row>
    <row r="46" spans="1:32" s="49" customFormat="1" ht="66" x14ac:dyDescent="0.25">
      <c r="A46" s="103" t="str">
        <f t="shared" si="11"/>
        <v>6d</v>
      </c>
      <c r="B46" s="216"/>
      <c r="C46" s="247"/>
      <c r="D46" s="213"/>
      <c r="E46" s="83" t="s">
        <v>41</v>
      </c>
      <c r="F46" s="85" t="s">
        <v>91</v>
      </c>
      <c r="G46" s="116" t="s">
        <v>75</v>
      </c>
      <c r="H46" s="117" t="s">
        <v>210</v>
      </c>
      <c r="I46" s="108" t="str">
        <f t="shared" si="2"/>
        <v>Oportunidad de mejora</v>
      </c>
      <c r="J46" s="105">
        <f t="shared" si="10"/>
        <v>70</v>
      </c>
      <c r="K46" s="105">
        <v>0.41234500000000002</v>
      </c>
      <c r="L46" s="105">
        <f t="shared" si="3"/>
        <v>70.412345000000002</v>
      </c>
    </row>
    <row r="47" spans="1:32" s="49" customFormat="1" ht="66" x14ac:dyDescent="0.25">
      <c r="A47" s="103" t="str">
        <f t="shared" si="11"/>
        <v>6e</v>
      </c>
      <c r="B47" s="216"/>
      <c r="C47" s="247"/>
      <c r="D47" s="213"/>
      <c r="E47" s="83" t="s">
        <v>43</v>
      </c>
      <c r="F47" s="85" t="s">
        <v>92</v>
      </c>
      <c r="G47" s="116" t="s">
        <v>75</v>
      </c>
      <c r="H47" s="117" t="s">
        <v>210</v>
      </c>
      <c r="I47" s="108" t="str">
        <f t="shared" si="2"/>
        <v>Oportunidad de mejora</v>
      </c>
      <c r="J47" s="105">
        <f t="shared" si="10"/>
        <v>70</v>
      </c>
      <c r="K47" s="105">
        <v>0.41234559999999998</v>
      </c>
      <c r="L47" s="105">
        <f t="shared" si="3"/>
        <v>70.412345599999995</v>
      </c>
    </row>
    <row r="48" spans="1:32" s="49" customFormat="1" ht="66" x14ac:dyDescent="0.25">
      <c r="A48" s="103" t="str">
        <f t="shared" si="11"/>
        <v>6f</v>
      </c>
      <c r="B48" s="216"/>
      <c r="C48" s="247"/>
      <c r="D48" s="213"/>
      <c r="E48" s="83" t="s">
        <v>45</v>
      </c>
      <c r="F48" s="85" t="s">
        <v>93</v>
      </c>
      <c r="G48" s="116" t="s">
        <v>75</v>
      </c>
      <c r="H48" s="117" t="s">
        <v>210</v>
      </c>
      <c r="I48" s="108" t="str">
        <f t="shared" si="2"/>
        <v>Oportunidad de mejora</v>
      </c>
      <c r="J48" s="105">
        <f t="shared" si="10"/>
        <v>70</v>
      </c>
      <c r="K48" s="105">
        <v>0.41234567</v>
      </c>
      <c r="L48" s="105">
        <f t="shared" si="3"/>
        <v>70.412345669999993</v>
      </c>
    </row>
    <row r="49" spans="1:17" s="49" customFormat="1" ht="96" customHeight="1" thickBot="1" x14ac:dyDescent="0.3">
      <c r="A49" s="103" t="str">
        <f t="shared" si="11"/>
        <v>6g</v>
      </c>
      <c r="B49" s="217"/>
      <c r="C49" s="248"/>
      <c r="D49" s="214"/>
      <c r="E49" s="86" t="s">
        <v>47</v>
      </c>
      <c r="F49" s="87" t="s">
        <v>94</v>
      </c>
      <c r="G49" s="118" t="s">
        <v>75</v>
      </c>
      <c r="H49" s="117" t="s">
        <v>211</v>
      </c>
      <c r="I49" s="109" t="str">
        <f t="shared" si="2"/>
        <v>Oportunidad de mejora</v>
      </c>
      <c r="J49" s="105">
        <f t="shared" si="10"/>
        <v>70</v>
      </c>
      <c r="K49" s="105">
        <v>0.41234567799999999</v>
      </c>
      <c r="L49" s="105">
        <f t="shared" si="3"/>
        <v>70.412345677999994</v>
      </c>
    </row>
    <row r="50" spans="1:17" s="49" customFormat="1" ht="72" customHeight="1" thickBot="1" x14ac:dyDescent="0.3">
      <c r="A50" s="103" t="str">
        <f>7&amp;E50</f>
        <v>7a</v>
      </c>
      <c r="B50" s="221" t="s">
        <v>95</v>
      </c>
      <c r="C50" s="249" t="s">
        <v>96</v>
      </c>
      <c r="D50" s="218" t="s">
        <v>97</v>
      </c>
      <c r="E50" s="81" t="s">
        <v>34</v>
      </c>
      <c r="F50" s="82" t="s">
        <v>98</v>
      </c>
      <c r="G50" s="112" t="s">
        <v>38</v>
      </c>
      <c r="H50" s="113" t="s">
        <v>212</v>
      </c>
      <c r="I50" s="104" t="str">
        <f t="shared" si="2"/>
        <v>Mantenimiento del control</v>
      </c>
      <c r="J50" s="105">
        <f>+IF(G50="Si",120,IF(G50="En proceso",100,80))</f>
        <v>120</v>
      </c>
      <c r="K50" s="105">
        <v>0.85099999999999998</v>
      </c>
      <c r="L50" s="105">
        <f t="shared" si="3"/>
        <v>120.851</v>
      </c>
    </row>
    <row r="51" spans="1:17" s="49" customFormat="1" ht="94.5" x14ac:dyDescent="0.25">
      <c r="A51" s="103" t="str">
        <f t="shared" ref="A51:A53" si="12">7&amp;E51</f>
        <v>7d</v>
      </c>
      <c r="B51" s="222"/>
      <c r="C51" s="250"/>
      <c r="D51" s="219"/>
      <c r="E51" s="83" t="s">
        <v>41</v>
      </c>
      <c r="F51" s="85" t="s">
        <v>99</v>
      </c>
      <c r="G51" s="112" t="s">
        <v>38</v>
      </c>
      <c r="H51" s="113" t="s">
        <v>212</v>
      </c>
      <c r="I51" s="108" t="str">
        <f t="shared" si="2"/>
        <v>Mantenimiento del control</v>
      </c>
      <c r="J51" s="105">
        <f t="shared" ref="J51:J59" si="13">+IF(G51="Si",120,IF(G51="En proceso",100,80))</f>
        <v>120</v>
      </c>
      <c r="K51" s="105">
        <v>0.85119999999999996</v>
      </c>
      <c r="L51" s="105">
        <f t="shared" si="3"/>
        <v>120.85120000000001</v>
      </c>
    </row>
    <row r="52" spans="1:17" s="49" customFormat="1" ht="87" customHeight="1" x14ac:dyDescent="0.25">
      <c r="A52" s="103" t="str">
        <f t="shared" si="12"/>
        <v>7f</v>
      </c>
      <c r="B52" s="222"/>
      <c r="C52" s="250"/>
      <c r="D52" s="219"/>
      <c r="E52" s="83" t="s">
        <v>45</v>
      </c>
      <c r="F52" s="85" t="s">
        <v>100</v>
      </c>
      <c r="G52" s="116" t="s">
        <v>38</v>
      </c>
      <c r="H52" s="117" t="s">
        <v>213</v>
      </c>
      <c r="I52" s="108" t="str">
        <f t="shared" si="2"/>
        <v>Mantenimiento del control</v>
      </c>
      <c r="J52" s="105">
        <f t="shared" si="13"/>
        <v>120</v>
      </c>
      <c r="K52" s="105">
        <v>0.85123000000000004</v>
      </c>
      <c r="L52" s="105">
        <f t="shared" si="3"/>
        <v>120.85123</v>
      </c>
    </row>
    <row r="53" spans="1:17" s="49" customFormat="1" ht="83.25" thickBot="1" x14ac:dyDescent="0.3">
      <c r="A53" s="103" t="str">
        <f t="shared" si="12"/>
        <v>7g</v>
      </c>
      <c r="B53" s="223"/>
      <c r="C53" s="251"/>
      <c r="D53" s="220"/>
      <c r="E53" s="86" t="s">
        <v>47</v>
      </c>
      <c r="F53" s="87" t="s">
        <v>101</v>
      </c>
      <c r="G53" s="118" t="s">
        <v>38</v>
      </c>
      <c r="H53" s="117" t="s">
        <v>213</v>
      </c>
      <c r="I53" s="109" t="str">
        <f t="shared" si="2"/>
        <v>Mantenimiento del control</v>
      </c>
      <c r="J53" s="105">
        <f t="shared" si="13"/>
        <v>120</v>
      </c>
      <c r="K53" s="105">
        <v>0.85123400000000005</v>
      </c>
      <c r="L53" s="105">
        <f t="shared" si="3"/>
        <v>120.85123400000001</v>
      </c>
    </row>
    <row r="54" spans="1:17" s="49" customFormat="1" ht="102.75" customHeight="1" thickBot="1" x14ac:dyDescent="0.3">
      <c r="A54" s="103" t="str">
        <f>8&amp;E54</f>
        <v>8h</v>
      </c>
      <c r="B54" s="160" t="s">
        <v>102</v>
      </c>
      <c r="C54" s="161" t="s">
        <v>96</v>
      </c>
      <c r="D54" s="76" t="s">
        <v>103</v>
      </c>
      <c r="E54" s="81" t="s">
        <v>49</v>
      </c>
      <c r="F54" s="82" t="s">
        <v>104</v>
      </c>
      <c r="G54" s="112" t="s">
        <v>38</v>
      </c>
      <c r="H54" s="113" t="s">
        <v>214</v>
      </c>
      <c r="I54" s="104" t="str">
        <f t="shared" si="2"/>
        <v>Mantenimiento del control</v>
      </c>
      <c r="J54" s="105">
        <f t="shared" si="13"/>
        <v>120</v>
      </c>
      <c r="K54" s="105">
        <v>0.85123450000000001</v>
      </c>
      <c r="L54" s="105">
        <f t="shared" si="3"/>
        <v>120.8512345</v>
      </c>
    </row>
    <row r="55" spans="1:17" s="49" customFormat="1" ht="122.25" customHeight="1" x14ac:dyDescent="0.25">
      <c r="A55" s="103" t="str">
        <f>9&amp;E55</f>
        <v>9a</v>
      </c>
      <c r="B55" s="221" t="s">
        <v>105</v>
      </c>
      <c r="C55" s="249" t="s">
        <v>96</v>
      </c>
      <c r="D55" s="218" t="s">
        <v>106</v>
      </c>
      <c r="E55" s="81" t="s">
        <v>34</v>
      </c>
      <c r="F55" s="82" t="s">
        <v>107</v>
      </c>
      <c r="G55" s="112" t="s">
        <v>75</v>
      </c>
      <c r="H55" s="117" t="s">
        <v>215</v>
      </c>
      <c r="I55" s="104" t="str">
        <f t="shared" si="2"/>
        <v>Oportunidad de mejora</v>
      </c>
      <c r="J55" s="105">
        <f t="shared" si="13"/>
        <v>100</v>
      </c>
      <c r="K55" s="110">
        <v>0.85123455999999997</v>
      </c>
      <c r="L55" s="105">
        <f t="shared" si="3"/>
        <v>100.85123455999999</v>
      </c>
      <c r="M55" s="48"/>
      <c r="N55" s="48"/>
      <c r="O55" s="48"/>
      <c r="P55" s="48"/>
      <c r="Q55" s="48"/>
    </row>
    <row r="56" spans="1:17" s="49" customFormat="1" ht="55.5" customHeight="1" thickBot="1" x14ac:dyDescent="0.3">
      <c r="A56" s="103" t="str">
        <f t="shared" ref="A56:A59" si="14">9&amp;E56</f>
        <v>9b</v>
      </c>
      <c r="B56" s="222"/>
      <c r="C56" s="250"/>
      <c r="D56" s="219"/>
      <c r="E56" s="83" t="s">
        <v>36</v>
      </c>
      <c r="F56" s="85" t="s">
        <v>108</v>
      </c>
      <c r="G56" s="116" t="s">
        <v>75</v>
      </c>
      <c r="H56" s="316" t="s">
        <v>216</v>
      </c>
      <c r="I56" s="108" t="str">
        <f t="shared" si="2"/>
        <v>Oportunidad de mejora</v>
      </c>
      <c r="J56" s="105">
        <f t="shared" si="13"/>
        <v>100</v>
      </c>
      <c r="K56" s="110">
        <v>0.851234567</v>
      </c>
      <c r="L56" s="105">
        <f t="shared" si="3"/>
        <v>100.85123456700001</v>
      </c>
      <c r="M56" s="48"/>
      <c r="N56" s="48"/>
      <c r="O56" s="48"/>
      <c r="P56" s="48"/>
      <c r="Q56" s="48"/>
    </row>
    <row r="57" spans="1:17" s="49" customFormat="1" ht="77.25" customHeight="1" thickBot="1" x14ac:dyDescent="0.3">
      <c r="A57" s="103" t="str">
        <f t="shared" si="14"/>
        <v>9c</v>
      </c>
      <c r="B57" s="222"/>
      <c r="C57" s="250"/>
      <c r="D57" s="219"/>
      <c r="E57" s="83" t="s">
        <v>39</v>
      </c>
      <c r="F57" s="85" t="s">
        <v>109</v>
      </c>
      <c r="G57" s="116" t="s">
        <v>75</v>
      </c>
      <c r="H57" s="113" t="s">
        <v>212</v>
      </c>
      <c r="I57" s="108" t="str">
        <f t="shared" si="2"/>
        <v>Oportunidad de mejora</v>
      </c>
      <c r="J57" s="105">
        <f t="shared" si="13"/>
        <v>100</v>
      </c>
      <c r="K57" s="110">
        <v>0.85123456779999995</v>
      </c>
      <c r="L57" s="105">
        <f t="shared" si="3"/>
        <v>100.85123456780001</v>
      </c>
      <c r="M57" s="48"/>
      <c r="N57" s="48"/>
      <c r="O57" s="48"/>
      <c r="P57" s="48"/>
      <c r="Q57" s="48"/>
    </row>
    <row r="58" spans="1:17" s="49" customFormat="1" ht="77.25" customHeight="1" thickBot="1" x14ac:dyDescent="0.3">
      <c r="A58" s="103" t="str">
        <f t="shared" si="14"/>
        <v>9d</v>
      </c>
      <c r="B58" s="222"/>
      <c r="C58" s="250"/>
      <c r="D58" s="219"/>
      <c r="E58" s="83" t="s">
        <v>41</v>
      </c>
      <c r="F58" s="85" t="s">
        <v>110</v>
      </c>
      <c r="G58" s="116" t="s">
        <v>75</v>
      </c>
      <c r="H58" s="113" t="s">
        <v>212</v>
      </c>
      <c r="I58" s="108" t="str">
        <f t="shared" si="2"/>
        <v>Oportunidad de mejora</v>
      </c>
      <c r="J58" s="105">
        <f t="shared" si="13"/>
        <v>100</v>
      </c>
      <c r="K58" s="110">
        <v>0.85123456788999996</v>
      </c>
      <c r="L58" s="105">
        <f t="shared" si="3"/>
        <v>100.85123456789</v>
      </c>
      <c r="M58" s="48"/>
      <c r="N58" s="48"/>
      <c r="O58" s="48"/>
      <c r="P58" s="48"/>
      <c r="Q58" s="48"/>
    </row>
    <row r="59" spans="1:17" s="49" customFormat="1" ht="77.25" customHeight="1" thickBot="1" x14ac:dyDescent="0.3">
      <c r="A59" s="103" t="str">
        <f t="shared" si="14"/>
        <v>9e</v>
      </c>
      <c r="B59" s="223"/>
      <c r="C59" s="250"/>
      <c r="D59" s="236"/>
      <c r="E59" s="86" t="s">
        <v>43</v>
      </c>
      <c r="F59" s="87" t="s">
        <v>111</v>
      </c>
      <c r="G59" s="118" t="s">
        <v>75</v>
      </c>
      <c r="H59" s="113" t="s">
        <v>212</v>
      </c>
      <c r="I59" s="109" t="str">
        <f t="shared" si="2"/>
        <v>Oportunidad de mejora</v>
      </c>
      <c r="J59" s="105">
        <f t="shared" si="13"/>
        <v>100</v>
      </c>
      <c r="K59" s="110">
        <v>0.85123456789100005</v>
      </c>
      <c r="L59" s="105">
        <f t="shared" si="3"/>
        <v>100.851234567891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60" zoomScale="80" zoomScaleNormal="80" workbookViewId="0">
      <selection activeCell="G72" sqref="G7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1" t="s">
        <v>112</v>
      </c>
      <c r="D7" s="262"/>
      <c r="E7" s="262"/>
      <c r="F7" s="262"/>
      <c r="G7" s="262"/>
      <c r="H7" s="262"/>
      <c r="I7" s="262"/>
      <c r="J7" s="262"/>
      <c r="K7" s="263"/>
    </row>
    <row r="8" spans="1:11" s="1" customFormat="1" ht="15.75" thickBot="1" x14ac:dyDescent="0.3">
      <c r="C8" s="39"/>
      <c r="D8" s="39"/>
      <c r="E8" s="40"/>
      <c r="F8" s="40"/>
      <c r="G8" s="40"/>
      <c r="H8" s="40"/>
      <c r="I8" s="50"/>
      <c r="J8" s="40"/>
      <c r="K8" s="40"/>
    </row>
    <row r="9" spans="1:11" ht="21" thickBot="1" x14ac:dyDescent="0.3">
      <c r="A9" s="1"/>
      <c r="B9" s="1"/>
      <c r="C9" s="170" t="s">
        <v>15</v>
      </c>
      <c r="D9" s="171"/>
      <c r="E9" s="171" t="s">
        <v>16</v>
      </c>
      <c r="F9" s="182"/>
      <c r="G9" s="40"/>
      <c r="H9" s="40"/>
      <c r="I9" s="50"/>
      <c r="J9" s="40"/>
      <c r="K9" s="40"/>
    </row>
    <row r="10" spans="1:11" ht="54" customHeight="1" x14ac:dyDescent="0.25">
      <c r="A10" s="1"/>
      <c r="B10" s="1"/>
      <c r="C10" s="183" t="s">
        <v>17</v>
      </c>
      <c r="D10" s="184"/>
      <c r="E10" s="185" t="s">
        <v>18</v>
      </c>
      <c r="F10" s="186"/>
      <c r="G10" s="41"/>
      <c r="H10" s="42">
        <v>1</v>
      </c>
      <c r="I10" s="50"/>
      <c r="J10" s="40"/>
      <c r="K10" s="40"/>
    </row>
    <row r="11" spans="1:11" ht="46.5" customHeight="1" x14ac:dyDescent="0.25">
      <c r="A11" s="1"/>
      <c r="B11" s="1"/>
      <c r="C11" s="172" t="s">
        <v>19</v>
      </c>
      <c r="D11" s="173"/>
      <c r="E11" s="174" t="s">
        <v>113</v>
      </c>
      <c r="F11" s="175"/>
      <c r="G11" s="43" t="s">
        <v>114</v>
      </c>
      <c r="H11" s="42">
        <v>0.75</v>
      </c>
      <c r="I11" s="50"/>
      <c r="J11" s="40"/>
      <c r="K11" s="40"/>
    </row>
    <row r="12" spans="1:11" ht="70.5" customHeight="1" thickBot="1" x14ac:dyDescent="0.3">
      <c r="A12" s="1"/>
      <c r="B12" s="1"/>
      <c r="C12" s="176" t="s">
        <v>21</v>
      </c>
      <c r="D12" s="177"/>
      <c r="E12" s="178" t="s">
        <v>115</v>
      </c>
      <c r="F12" s="179"/>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69" t="s">
        <v>116</v>
      </c>
      <c r="D17" s="271" t="s">
        <v>117</v>
      </c>
      <c r="E17" s="272"/>
      <c r="F17" s="273" t="s">
        <v>118</v>
      </c>
      <c r="G17" s="275" t="s">
        <v>119</v>
      </c>
      <c r="H17" s="38"/>
      <c r="I17" s="264" t="s">
        <v>120</v>
      </c>
      <c r="J17" s="264" t="s">
        <v>121</v>
      </c>
    </row>
    <row r="18" spans="1:10" ht="36" customHeight="1" thickBot="1" x14ac:dyDescent="0.3">
      <c r="A18" s="1"/>
      <c r="B18" s="1"/>
      <c r="C18" s="270"/>
      <c r="D18" s="120" t="s">
        <v>122</v>
      </c>
      <c r="E18" s="121" t="s">
        <v>27</v>
      </c>
      <c r="F18" s="274"/>
      <c r="G18" s="276"/>
      <c r="H18" s="38"/>
      <c r="I18" s="265"/>
      <c r="J18" s="265"/>
    </row>
    <row r="19" spans="1:10" ht="65.25" customHeight="1" x14ac:dyDescent="0.25">
      <c r="A19" s="1"/>
      <c r="B19" s="1"/>
      <c r="C19" s="139">
        <v>1</v>
      </c>
      <c r="D19" s="266" t="s">
        <v>32</v>
      </c>
      <c r="E19" s="122" t="str">
        <f>+IFERROR(INDEX(Hoja1!$E$2:$E$45,MATCH('Análisis Resultados'!C19,Hoja1!$H$2:$H$45,0)),"")</f>
        <v>Un documento tal como un código de ética, integridad u otro que formalice los estándares de conducta, los principios institucionales o los valores del servicio público</v>
      </c>
      <c r="F19" s="123" t="str">
        <f>+IFERROR(VLOOKUP(C19,Hoja1!$H$2:$I$45,2,0),"")</f>
        <v>En proceso</v>
      </c>
      <c r="G19" s="12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9" s="18"/>
      <c r="I19" s="140">
        <f>+IF(F19="Si",1,IF(F19="En proceso",0.5,0))</f>
        <v>0.5</v>
      </c>
      <c r="J19" s="279">
        <f>+AVERAGE(I19:I30)</f>
        <v>0.75</v>
      </c>
    </row>
    <row r="20" spans="1:10" ht="57" x14ac:dyDescent="0.25">
      <c r="A20" s="1"/>
      <c r="B20" s="1"/>
      <c r="C20" s="139">
        <v>2</v>
      </c>
      <c r="D20" s="267"/>
      <c r="E20" s="125" t="str">
        <f>+IFERROR(INDEX(Hoja1!$E$2:$E$45,MATCH('Análisis Resultados'!C20,Hoja1!$H$2:$H$45,0)),"")</f>
        <v>Procesos de inducción, capacitación y bienestar social para sus servidores públicos, de manera directa o en asociación con otras entidades municipales</v>
      </c>
      <c r="F20" s="126" t="str">
        <f>+IFERROR(VLOOKUP(C20,Hoja1!$H$2:$I$45,2,0),"")</f>
        <v>En proceso</v>
      </c>
      <c r="G20" s="12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41">
        <f t="shared" ref="I20:I62" si="1">+IF(F20="Si",1,IF(F20="En proceso",0.5,0))</f>
        <v>0.5</v>
      </c>
      <c r="J20" s="280"/>
    </row>
    <row r="21" spans="1:10" ht="45" x14ac:dyDescent="0.25">
      <c r="A21" s="1"/>
      <c r="B21" s="1"/>
      <c r="C21" s="139">
        <v>3</v>
      </c>
      <c r="D21" s="267"/>
      <c r="E21" s="125" t="str">
        <f>+IFERROR(INDEX(Hoja1!$E$2:$E$45,MATCH('Análisis Resultados'!C21,Hoja1!$H$2:$H$45,0)),"")</f>
        <v>Evaluación a los servidores públicos de acuerdo con el marco normativo que le rige</v>
      </c>
      <c r="F21" s="126" t="str">
        <f>+IFERROR(VLOOKUP(C21,Hoja1!$H$2:$I$45,2,0),"")</f>
        <v>En proceso</v>
      </c>
      <c r="G21" s="127" t="str">
        <f t="shared" si="0"/>
        <v>Se encuentra en proceso, pero requiere continuar con acciones dirigidas a contar con dicho aspecto de control.</v>
      </c>
      <c r="H21" s="18"/>
      <c r="I21" s="141">
        <f t="shared" si="1"/>
        <v>0.5</v>
      </c>
      <c r="J21" s="280"/>
    </row>
    <row r="22" spans="1:10" ht="56.25" customHeight="1" x14ac:dyDescent="0.25">
      <c r="A22" s="1"/>
      <c r="B22" s="1"/>
      <c r="C22" s="139">
        <v>4</v>
      </c>
      <c r="D22" s="267"/>
      <c r="E22" s="125" t="str">
        <f>+IFERROR(INDEX(Hoja1!$E$2:$E$45,MATCH('Análisis Resultados'!C22,Hoja1!$H$2:$H$45,0)),"")</f>
        <v>Procesos de desvinculación de servidores de acuerdo con lo previsto en la Constitución Política y las leyes</v>
      </c>
      <c r="F22" s="126" t="str">
        <f>+IFERROR(VLOOKUP(C22,Hoja1!$H$2:$I$45,2,0),"")</f>
        <v>En proceso</v>
      </c>
      <c r="G22" s="127" t="str">
        <f t="shared" si="0"/>
        <v>Se encuentra en proceso, pero requiere continuar con acciones dirigidas a contar con dicho aspecto de control.</v>
      </c>
      <c r="H22" s="18"/>
      <c r="I22" s="141">
        <f t="shared" si="1"/>
        <v>0.5</v>
      </c>
      <c r="J22" s="280"/>
    </row>
    <row r="23" spans="1:10" ht="45" x14ac:dyDescent="0.25">
      <c r="A23" s="1"/>
      <c r="B23" s="1"/>
      <c r="C23" s="139">
        <v>5</v>
      </c>
      <c r="D23" s="267"/>
      <c r="E23" s="125" t="str">
        <f>+IFERROR(INDEX(Hoja1!$E$2:$E$45,MATCH('Análisis Resultados'!C23,Hoja1!$H$2:$H$45,0)),"")</f>
        <v>Mecanismos de rendición de cuentas a la ciudadanía</v>
      </c>
      <c r="F23" s="126" t="str">
        <f>+IFERROR(VLOOKUP(C23,Hoja1!$H$2:$I$45,2,0),"")</f>
        <v>En proceso</v>
      </c>
      <c r="G23" s="127" t="str">
        <f t="shared" si="0"/>
        <v>Se encuentra en proceso, pero requiere continuar con acciones dirigidas a contar con dicho aspecto de control.</v>
      </c>
      <c r="H23" s="18"/>
      <c r="I23" s="141">
        <f t="shared" si="1"/>
        <v>0.5</v>
      </c>
      <c r="J23" s="280"/>
    </row>
    <row r="24" spans="1:10" ht="45" x14ac:dyDescent="0.25">
      <c r="A24" s="1"/>
      <c r="B24" s="1"/>
      <c r="C24" s="139">
        <v>6</v>
      </c>
      <c r="D24" s="267"/>
      <c r="E24" s="125" t="str">
        <f>+IFERROR(INDEX(Hoja1!$E$2:$E$45,MATCH('Análisis Resultados'!C24,Hoja1!$H$2:$H$45,0)),"")</f>
        <v>Presentación oportuna de sus informes de gestión a las autoridades competentes</v>
      </c>
      <c r="F24" s="126" t="str">
        <f>+IFERROR(VLOOKUP(C24,Hoja1!$H$2:$I$45,2,0),"")</f>
        <v>En proceso</v>
      </c>
      <c r="G24" s="127" t="str">
        <f t="shared" si="0"/>
        <v>Se encuentra en proceso, pero requiere continuar con acciones dirigidas a contar con dicho aspecto de control.</v>
      </c>
      <c r="H24" s="18"/>
      <c r="I24" s="141">
        <f t="shared" si="1"/>
        <v>0.5</v>
      </c>
      <c r="J24" s="280"/>
    </row>
    <row r="25" spans="1:10" ht="45" x14ac:dyDescent="0.25">
      <c r="A25" s="1"/>
      <c r="B25" s="1"/>
      <c r="C25" s="139">
        <v>7</v>
      </c>
      <c r="D25" s="267"/>
      <c r="E25" s="125" t="str">
        <f>+IFERROR(INDEX(Hoja1!$E$2:$E$45,MATCH('Análisis Resultados'!C25,Hoja1!$H$2:$H$45,0)),"")</f>
        <v>Documento interno o adopción del MECI actualizado</v>
      </c>
      <c r="F25" s="126" t="str">
        <f>+IFERROR(VLOOKUP(C25,Hoja1!$H$2:$I$45,2,0),"")</f>
        <v>Si</v>
      </c>
      <c r="G25" s="127" t="str">
        <f t="shared" si="0"/>
        <v>Existe requerimiento pero se requiere actividades  dirigidas a su mantenimiento dentro del marco de las lineas de defensa.</v>
      </c>
      <c r="H25" s="18"/>
      <c r="I25" s="141">
        <f t="shared" si="1"/>
        <v>1</v>
      </c>
      <c r="J25" s="280"/>
    </row>
    <row r="26" spans="1:10" ht="45" x14ac:dyDescent="0.25">
      <c r="A26" s="1"/>
      <c r="B26" s="1"/>
      <c r="C26" s="139">
        <v>8</v>
      </c>
      <c r="D26" s="267"/>
      <c r="E26" s="125" t="str">
        <f>+IFERROR(INDEX(Hoja1!$E$2:$E$45,MATCH('Análisis Resultados'!C26,Hoja1!$H$2:$H$45,0)),"")</f>
        <v>Planes, programas y proyectos de acuerdo con las normas que rigen y atendiendo con su propósito fundamental institucional (misión)</v>
      </c>
      <c r="F26" s="126" t="str">
        <f>+IFERROR(VLOOKUP(C26,Hoja1!$H$2:$I$45,2,0),"")</f>
        <v>Si</v>
      </c>
      <c r="G26" s="127" t="str">
        <f t="shared" si="0"/>
        <v>Existe requerimiento pero se requiere actividades  dirigidas a su mantenimiento dentro del marco de las lineas de defensa.</v>
      </c>
      <c r="H26" s="18"/>
      <c r="I26" s="141">
        <f t="shared" si="1"/>
        <v>1</v>
      </c>
      <c r="J26" s="280"/>
    </row>
    <row r="27" spans="1:10" ht="45" x14ac:dyDescent="0.25">
      <c r="A27" s="1"/>
      <c r="B27" s="1"/>
      <c r="C27" s="139">
        <v>9</v>
      </c>
      <c r="D27" s="267"/>
      <c r="E27" s="125" t="str">
        <f>+IFERROR(INDEX(Hoja1!$E$2:$E$45,MATCH('Análisis Resultados'!C27,Hoja1!$H$2:$H$45,0)),"")</f>
        <v>Una estructura organizacional formalizada (organigrama)</v>
      </c>
      <c r="F27" s="126" t="str">
        <f>+IFERROR(VLOOKUP(C27,Hoja1!$H$2:$I$45,2,0),"")</f>
        <v>Si</v>
      </c>
      <c r="G27" s="127" t="str">
        <f t="shared" si="0"/>
        <v>Existe requerimiento pero se requiere actividades  dirigidas a su mantenimiento dentro del marco de las lineas de defensa.</v>
      </c>
      <c r="H27" s="18"/>
      <c r="I27" s="141">
        <f t="shared" si="1"/>
        <v>1</v>
      </c>
      <c r="J27" s="280"/>
    </row>
    <row r="28" spans="1:10" ht="45" x14ac:dyDescent="0.25">
      <c r="A28" s="1"/>
      <c r="B28" s="1"/>
      <c r="C28" s="139">
        <v>10</v>
      </c>
      <c r="D28" s="267"/>
      <c r="E28" s="125" t="str">
        <f>+IFERROR(INDEX(Hoja1!$E$2:$E$45,MATCH('Análisis Resultados'!C28,Hoja1!$H$2:$H$45,0)),"")</f>
        <v>Un manual de funciones que describa los empleos de la entidad</v>
      </c>
      <c r="F28" s="126" t="str">
        <f>+IFERROR(VLOOKUP(C28,Hoja1!$H$2:$I$45,2,0),"")</f>
        <v>Si</v>
      </c>
      <c r="G28" s="127" t="str">
        <f t="shared" si="0"/>
        <v>Existe requerimiento pero se requiere actividades  dirigidas a su mantenimiento dentro del marco de las lineas de defensa.</v>
      </c>
      <c r="H28" s="18"/>
      <c r="I28" s="141">
        <f t="shared" si="1"/>
        <v>1</v>
      </c>
      <c r="J28" s="280"/>
    </row>
    <row r="29" spans="1:10" ht="45" x14ac:dyDescent="0.25">
      <c r="A29" s="1"/>
      <c r="B29" s="1"/>
      <c r="C29" s="139">
        <v>11</v>
      </c>
      <c r="D29" s="267"/>
      <c r="E29" s="125" t="str">
        <f>+IFERROR(INDEX(Hoja1!$E$2:$E$45,MATCH('Análisis Resultados'!C29,Hoja1!$H$2:$H$45,0)),"")</f>
        <v>La documentación de sus procesos y procedimientos o bien una lista de actividades principales que permitan conocer el estado de su gestión</v>
      </c>
      <c r="F29" s="126" t="str">
        <f>+IFERROR(VLOOKUP(C29,Hoja1!$H$2:$I$45,2,0),"")</f>
        <v>Si</v>
      </c>
      <c r="G29" s="12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1">
        <f t="shared" si="1"/>
        <v>1</v>
      </c>
      <c r="J29" s="280"/>
    </row>
    <row r="30" spans="1:10" ht="45.75" thickBot="1" x14ac:dyDescent="0.3">
      <c r="A30" s="1"/>
      <c r="B30" s="1"/>
      <c r="C30" s="139">
        <v>12</v>
      </c>
      <c r="D30" s="268"/>
      <c r="E30" s="128" t="str">
        <f>+IFERROR(INDEX(Hoja1!$E$2:$E$45,MATCH('Análisis Resultados'!C30,Hoja1!$H$2:$H$45,0)),"")</f>
        <v>Vinculación de los servidores públicos de acuerdo con el marco normativo que les rige (carrera administrativa, libre nombramiento y remoción, entre otros)</v>
      </c>
      <c r="F30" s="129" t="str">
        <f>+IFERROR(VLOOKUP(C30,Hoja1!$H$2:$I$45,2,0),"")</f>
        <v>Si</v>
      </c>
      <c r="G30" s="130" t="str">
        <f t="shared" si="0"/>
        <v>Existe requerimiento pero se requiere actividades  dirigidas a su mantenimiento dentro del marco de las lineas de defensa.</v>
      </c>
      <c r="H30" s="18"/>
      <c r="I30" s="142">
        <f t="shared" si="1"/>
        <v>1</v>
      </c>
      <c r="J30" s="281"/>
    </row>
    <row r="31" spans="1:10" ht="45" customHeight="1" x14ac:dyDescent="0.25">
      <c r="A31" s="1"/>
      <c r="B31" s="1"/>
      <c r="C31" s="139">
        <v>13</v>
      </c>
      <c r="D31" s="293" t="s">
        <v>60</v>
      </c>
      <c r="E31" s="122" t="str">
        <f>+IFERROR(INDEX(Hoja1!$E$2:$E$45,MATCH('Análisis Resultados'!C31,Hoja1!$H$2:$H$45,0)),"")</f>
        <v>La identificación  de los riesgos relacionados con posibles actos de corrupción en el ejercicio de sus funciones</v>
      </c>
      <c r="F31" s="123" t="str">
        <f>+IFERROR(VLOOKUP(C31,Hoja1!$H$2:$I$45,2,0),"")</f>
        <v>En proceso</v>
      </c>
      <c r="G31" s="124" t="str">
        <f t="shared" si="0"/>
        <v>Se encuentra en proceso, pero requiere continuar con acciones dirigidas a contar con dicho aspecto de control.</v>
      </c>
      <c r="H31" s="18"/>
      <c r="I31" s="140">
        <f t="shared" si="1"/>
        <v>0.5</v>
      </c>
      <c r="J31" s="277">
        <f>+AVERAGE(I31:I40)</f>
        <v>0.7</v>
      </c>
    </row>
    <row r="32" spans="1:10" ht="57" customHeight="1" x14ac:dyDescent="0.25">
      <c r="A32" s="1"/>
      <c r="B32" s="1"/>
      <c r="C32" s="139">
        <v>14</v>
      </c>
      <c r="D32" s="294"/>
      <c r="E32" s="125" t="str">
        <f>+IFERROR(INDEX(Hoja1!$E$2:$E$45,MATCH('Análisis Resultados'!C32,Hoja1!$H$2:$H$45,0)),"")</f>
        <v>Si su capacidad e infraestructura lo permite, identificación de riesgos asociados a las tecnologías de la información y las comunicaciones</v>
      </c>
      <c r="F32" s="126" t="str">
        <f>+IFERROR(VLOOKUP(C32,Hoja1!$H$2:$I$45,2,0),"")</f>
        <v>En proceso</v>
      </c>
      <c r="G32" s="127" t="str">
        <f t="shared" si="0"/>
        <v>Se encuentra en proceso, pero requiere continuar con acciones dirigidas a contar con dicho aspecto de control.</v>
      </c>
      <c r="H32" s="18"/>
      <c r="I32" s="141">
        <f t="shared" si="1"/>
        <v>0.5</v>
      </c>
      <c r="J32" s="278"/>
    </row>
    <row r="33" spans="1:10" ht="54" customHeight="1" x14ac:dyDescent="0.25">
      <c r="A33" s="1"/>
      <c r="B33" s="1"/>
      <c r="C33" s="139">
        <v>15</v>
      </c>
      <c r="D33" s="294"/>
      <c r="E33" s="125" t="str">
        <f>+IFERROR(INDEX(Hoja1!$E$2:$E$45,MATCH('Análisis Resultados'!C33,Hoja1!$H$2:$H$45,0)),"")</f>
        <v>Identifican deficiencias en las maneras de  controlar los riesgos o problemas en sus procesos, programas o proyectos, y propone los ajustes necesarios</v>
      </c>
      <c r="F33" s="126" t="str">
        <f>+IFERROR(VLOOKUP(C33,Hoja1!$H$2:$I$45,2,0),"")</f>
        <v>En proceso</v>
      </c>
      <c r="G33" s="127" t="str">
        <f t="shared" si="0"/>
        <v>Se encuentra en proceso, pero requiere continuar con acciones dirigidas a contar con dicho aspecto de control.</v>
      </c>
      <c r="H33" s="18"/>
      <c r="I33" s="141">
        <f t="shared" si="1"/>
        <v>0.5</v>
      </c>
      <c r="J33" s="278"/>
    </row>
    <row r="34" spans="1:10" ht="45" x14ac:dyDescent="0.25">
      <c r="A34" s="1"/>
      <c r="B34" s="1"/>
      <c r="C34" s="139">
        <v>16</v>
      </c>
      <c r="D34" s="294"/>
      <c r="E34" s="125" t="str">
        <f>+IFERROR(INDEX(Hoja1!$E$2:$E$45,MATCH('Análisis Resultados'!C34,Hoja1!$H$2:$H$45,0)),"")</f>
        <v>Se definen espacios de reunión para conocerlos y proponer acciones para su solución</v>
      </c>
      <c r="F34" s="126" t="str">
        <f>+IFERROR(VLOOKUP(C34,Hoja1!$H$2:$I$45,2,0),"")</f>
        <v>En proceso</v>
      </c>
      <c r="G34" s="127" t="str">
        <f t="shared" si="0"/>
        <v>Se encuentra en proceso, pero requiere continuar con acciones dirigidas a contar con dicho aspecto de control.</v>
      </c>
      <c r="H34" s="18"/>
      <c r="I34" s="141">
        <f t="shared" si="1"/>
        <v>0.5</v>
      </c>
      <c r="J34" s="278"/>
    </row>
    <row r="35" spans="1:10" ht="67.5" customHeight="1" x14ac:dyDescent="0.25">
      <c r="A35" s="1"/>
      <c r="B35" s="1"/>
      <c r="C35" s="139">
        <v>17</v>
      </c>
      <c r="D35" s="294"/>
      <c r="E35" s="125" t="str">
        <f>+IFERROR(INDEX(Hoja1!$E$2:$E$45,MATCH('Análisis Resultados'!C35,Hoja1!$H$2:$H$45,0)),"")</f>
        <v>Cada líder del equipo autónomamente toma las acciones para solucionarlos.</v>
      </c>
      <c r="F35" s="126" t="str">
        <f>+IFERROR(VLOOKUP(C35,Hoja1!$H$2:$I$45,2,0),"")</f>
        <v>En proceso</v>
      </c>
      <c r="G35" s="127" t="str">
        <f t="shared" si="0"/>
        <v>Se encuentra en proceso, pero requiere continuar con acciones dirigidas a contar con dicho aspecto de control.</v>
      </c>
      <c r="H35" s="18"/>
      <c r="I35" s="141">
        <f t="shared" si="1"/>
        <v>0.5</v>
      </c>
      <c r="J35" s="278"/>
    </row>
    <row r="36" spans="1:10" ht="45" x14ac:dyDescent="0.25">
      <c r="A36" s="1"/>
      <c r="B36" s="1"/>
      <c r="C36" s="139">
        <v>18</v>
      </c>
      <c r="D36" s="294"/>
      <c r="E36" s="125" t="str">
        <f>+IFERROR(INDEX(Hoja1!$E$2:$E$45,MATCH('Análisis Resultados'!C36,Hoja1!$H$2:$H$45,0)),"")</f>
        <v>Solamente hasta que un organismo de control actúa se definen acciones de mejora.</v>
      </c>
      <c r="F36" s="126" t="str">
        <f>+IFERROR(VLOOKUP(C36,Hoja1!$H$2:$I$45,2,0),"")</f>
        <v>En proceso</v>
      </c>
      <c r="G36" s="127" t="str">
        <f t="shared" si="0"/>
        <v>Se encuentra en proceso, pero requiere continuar con acciones dirigidas a contar con dicho aspecto de control.</v>
      </c>
      <c r="H36" s="18"/>
      <c r="I36" s="141">
        <f t="shared" si="1"/>
        <v>0.5</v>
      </c>
      <c r="J36" s="278"/>
    </row>
    <row r="37" spans="1:10" ht="57" customHeight="1" x14ac:dyDescent="0.25">
      <c r="A37" s="1"/>
      <c r="B37" s="1"/>
      <c r="C37" s="139">
        <v>19</v>
      </c>
      <c r="D37" s="294"/>
      <c r="E37" s="125" t="str">
        <f>+IFERROR(INDEX(Hoja1!$E$2:$E$45,MATCH('Análisis Resultados'!C37,Hoja1!$H$2:$H$45,0)),"")</f>
        <v>La identificación de cambios en su entorno que pueden generar consecuencias negativas en su gestión</v>
      </c>
      <c r="F37" s="126" t="str">
        <f>+IFERROR(VLOOKUP(C37,Hoja1!$H$2:$I$45,2,0),"")</f>
        <v>Si</v>
      </c>
      <c r="G37" s="127" t="str">
        <f t="shared" si="0"/>
        <v>Existe requerimiento pero se requiere actividades  dirigidas a su mantenimiento dentro del marco de las lineas de defensa.</v>
      </c>
      <c r="H37" s="18"/>
      <c r="I37" s="141">
        <f t="shared" si="1"/>
        <v>1</v>
      </c>
      <c r="J37" s="278"/>
    </row>
    <row r="38" spans="1:10" ht="45" x14ac:dyDescent="0.25">
      <c r="A38" s="1"/>
      <c r="B38" s="1"/>
      <c r="C38" s="139">
        <v>20</v>
      </c>
      <c r="D38" s="294"/>
      <c r="E38" s="125" t="str">
        <f>+IFERROR(INDEX(Hoja1!$E$2:$E$45,MATCH('Análisis Resultados'!C38,Hoja1!$H$2:$H$45,0)),"")</f>
        <v>La identificación de aquellos problemas o aspectos que pueden afectar el cumplimiento de los planes de la entidad y en general su gestión institucional (riesgos)</v>
      </c>
      <c r="F38" s="126" t="str">
        <f>+IFERROR(VLOOKUP(C38,Hoja1!$H$2:$I$45,2,0),"")</f>
        <v>Si</v>
      </c>
      <c r="G38" s="127" t="str">
        <f t="shared" si="0"/>
        <v>Existe requerimiento pero se requiere actividades  dirigidas a su mantenimiento dentro del marco de las lineas de defensa.</v>
      </c>
      <c r="H38" s="18"/>
      <c r="I38" s="141">
        <f t="shared" si="1"/>
        <v>1</v>
      </c>
      <c r="J38" s="278"/>
    </row>
    <row r="39" spans="1:10" ht="45" x14ac:dyDescent="0.25">
      <c r="A39" s="1"/>
      <c r="B39" s="1"/>
      <c r="C39" s="139">
        <v>21</v>
      </c>
      <c r="D39" s="294"/>
      <c r="E39" s="125" t="str">
        <f>+IFERROR(INDEX(Hoja1!$E$2:$E$45,MATCH('Análisis Resultados'!C39,Hoja1!$H$2:$H$45,0)),"")</f>
        <v>Hacen seguimiento a los problemas (riesgos)  que pueden afectar el cumplimiento de sus procesos, programas o proyectos a cargo</v>
      </c>
      <c r="F39" s="126" t="str">
        <f>+IFERROR(VLOOKUP(C39,Hoja1!$H$2:$I$45,2,0),"")</f>
        <v>Si</v>
      </c>
      <c r="G39" s="127" t="str">
        <f t="shared" si="0"/>
        <v>Existe requerimiento pero se requiere actividades  dirigidas a su mantenimiento dentro del marco de las lineas de defensa.</v>
      </c>
      <c r="H39" s="18"/>
      <c r="I39" s="141">
        <f t="shared" si="1"/>
        <v>1</v>
      </c>
      <c r="J39" s="278"/>
    </row>
    <row r="40" spans="1:10" ht="45.75" thickBot="1" x14ac:dyDescent="0.3">
      <c r="A40" s="1"/>
      <c r="B40" s="1"/>
      <c r="C40" s="139">
        <v>22</v>
      </c>
      <c r="D40" s="294"/>
      <c r="E40" s="131" t="str">
        <f>+IFERROR(INDEX(Hoja1!$E$2:$E$45,MATCH('Análisis Resultados'!C40,Hoja1!$H$2:$H$45,0)),"")</f>
        <v>Informan de manera periódica a quien corresponda sobre el desempeño de las actividades de gestión de riesgos</v>
      </c>
      <c r="F40" s="132" t="str">
        <f>+IFERROR(VLOOKUP(C40,Hoja1!$H$2:$I$45,2,0),"")</f>
        <v>Si</v>
      </c>
      <c r="G40" s="133" t="str">
        <f t="shared" si="0"/>
        <v>Existe requerimiento pero se requiere actividades  dirigidas a su mantenimiento dentro del marco de las lineas de defensa.</v>
      </c>
      <c r="H40" s="18"/>
      <c r="I40" s="143">
        <f t="shared" si="1"/>
        <v>1</v>
      </c>
      <c r="J40" s="278"/>
    </row>
    <row r="41" spans="1:10" ht="87.75" customHeight="1" x14ac:dyDescent="0.25">
      <c r="A41" s="1"/>
      <c r="B41" s="1"/>
      <c r="C41" s="139">
        <v>23</v>
      </c>
      <c r="D41" s="289" t="s">
        <v>78</v>
      </c>
      <c r="E41" s="122" t="str">
        <f>+IFERROR(INDEX(Hoja1!$E$2:$E$45,MATCH('Análisis Resultados'!C41,Hoja1!$H$2:$H$45,0)),"")</f>
        <v>La definición de acciones o actividades para para dar tratamiento a los problemas identificados (mitigación de riesgos), incluyendo aquellos asociados a posibles actos de corrupción</v>
      </c>
      <c r="F41" s="123" t="str">
        <f>+IFERROR(VLOOKUP(C41,Hoja1!$H$2:$I$45,2,0),"")</f>
        <v>En proceso</v>
      </c>
      <c r="G41" s="124" t="str">
        <f t="shared" si="0"/>
        <v>Se encuentra en proceso, pero requiere continuar con acciones dirigidas a contar con dicho aspecto de control.</v>
      </c>
      <c r="H41" s="18"/>
      <c r="I41" s="140">
        <f t="shared" si="1"/>
        <v>0.5</v>
      </c>
      <c r="J41" s="277">
        <f>+AVERAGE(I41:I45)</f>
        <v>0.5</v>
      </c>
    </row>
    <row r="42" spans="1:10" ht="57" x14ac:dyDescent="0.25">
      <c r="A42" s="1"/>
      <c r="B42" s="1"/>
      <c r="C42" s="139">
        <v>24</v>
      </c>
      <c r="D42" s="290"/>
      <c r="E42" s="125" t="str">
        <f>+IFERROR(INDEX(Hoja1!$E$2:$E$45,MATCH('Análisis Resultados'!C42,Hoja1!$H$2:$H$45,0)),"")</f>
        <v>Mecanismos de verificación de si se están o no mitigando los riesgos, o en su defecto, elaboración de planes de contingencia para subsanar sus consecuencias</v>
      </c>
      <c r="F42" s="126" t="str">
        <f>+IFERROR(VLOOKUP(C42,Hoja1!$H$2:$I$45,2,0),"")</f>
        <v>En proceso</v>
      </c>
      <c r="G42" s="127" t="str">
        <f t="shared" si="0"/>
        <v>Se encuentra en proceso, pero requiere continuar con acciones dirigidas a contar con dicho aspecto de control.</v>
      </c>
      <c r="H42" s="18"/>
      <c r="I42" s="141">
        <f t="shared" si="1"/>
        <v>0.5</v>
      </c>
      <c r="J42" s="278"/>
    </row>
    <row r="43" spans="1:10" ht="85.5" customHeight="1" x14ac:dyDescent="0.25">
      <c r="A43" s="1"/>
      <c r="B43" s="1"/>
      <c r="C43" s="139">
        <v>25</v>
      </c>
      <c r="D43" s="290"/>
      <c r="E43" s="125" t="str">
        <f>+IFERROR(INDEX(Hoja1!$E$2:$E$45,MATCH('Análisis Resultados'!C43,Hoja1!$H$2:$H$45,0)),"")</f>
        <v>Planes, acciones o estrategias que permitan subsanar las consecuencias de la materialización de los riesgos, cuando se presentan</v>
      </c>
      <c r="F43" s="126" t="str">
        <f>+IFERROR(VLOOKUP(C43,Hoja1!$H$2:$I$45,2,0),"")</f>
        <v>En proceso</v>
      </c>
      <c r="G43" s="127" t="str">
        <f t="shared" si="0"/>
        <v>Se encuentra en proceso, pero requiere continuar con acciones dirigidas a contar con dicho aspecto de control.</v>
      </c>
      <c r="H43" s="18"/>
      <c r="I43" s="141">
        <f t="shared" si="1"/>
        <v>0.5</v>
      </c>
      <c r="J43" s="278"/>
    </row>
    <row r="44" spans="1:10" ht="57" customHeight="1" x14ac:dyDescent="0.25">
      <c r="A44" s="1"/>
      <c r="B44" s="1"/>
      <c r="C44" s="139">
        <v>26</v>
      </c>
      <c r="D44" s="290"/>
      <c r="E44" s="12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6" t="str">
        <f>+IFERROR(VLOOKUP(C44,Hoja1!$H$2:$I$45,2,0),"")</f>
        <v>En proceso</v>
      </c>
      <c r="G44" s="127" t="str">
        <f t="shared" si="0"/>
        <v>Se encuentra en proceso, pero requiere continuar con acciones dirigidas a contar con dicho aspecto de control.</v>
      </c>
      <c r="H44" s="18"/>
      <c r="I44" s="141">
        <f t="shared" si="1"/>
        <v>0.5</v>
      </c>
      <c r="J44" s="278"/>
    </row>
    <row r="45" spans="1:10" ht="57" customHeight="1" thickBot="1" x14ac:dyDescent="0.3">
      <c r="A45" s="1"/>
      <c r="B45" s="1"/>
      <c r="C45" s="139">
        <v>27</v>
      </c>
      <c r="D45" s="291"/>
      <c r="E45" s="128" t="str">
        <f>+IFERROR(INDEX(Hoja1!$E$2:$E$45,MATCH('Análisis Resultados'!C45,Hoja1!$H$2:$H$45,0)),"")</f>
        <v>Un plan anticorrupción y de servicio al ciudadano con los temas que le aplican, publicado en algún medio para conocimiento de la ciudadanía</v>
      </c>
      <c r="F45" s="129" t="str">
        <f>+IFERROR(VLOOKUP(C45,Hoja1!$H$2:$I$45,2,0),"")</f>
        <v>En proceso</v>
      </c>
      <c r="G45" s="130" t="str">
        <f t="shared" si="0"/>
        <v>Se encuentra en proceso, pero requiere continuar con acciones dirigidas a contar con dicho aspecto de control.</v>
      </c>
      <c r="H45" s="18"/>
      <c r="I45" s="142">
        <f t="shared" si="1"/>
        <v>0.5</v>
      </c>
      <c r="J45" s="292"/>
    </row>
    <row r="46" spans="1:10" ht="63.75" customHeight="1" x14ac:dyDescent="0.25">
      <c r="A46" s="1"/>
      <c r="B46" s="1"/>
      <c r="C46" s="139">
        <v>28</v>
      </c>
      <c r="D46" s="288" t="s">
        <v>86</v>
      </c>
      <c r="E46" s="134" t="str">
        <f>+IFERROR(INDEX(Hoja1!$E$2:$E$45,MATCH('Análisis Resultados'!C46,Hoja1!$H$2:$H$45,0)),"")</f>
        <v>Responsables de la información institucional</v>
      </c>
      <c r="F46" s="135" t="str">
        <f>+IFERROR(VLOOKUP(C46,Hoja1!$H$2:$I$45,2,0),"")</f>
        <v>En proceso</v>
      </c>
      <c r="G46" s="136" t="str">
        <f t="shared" si="0"/>
        <v>Se encuentra en proceso, pero requiere continuar con acciones dirigidas a contar con dicho aspecto de control.</v>
      </c>
      <c r="H46" s="18"/>
      <c r="I46" s="144">
        <f t="shared" si="1"/>
        <v>0.5</v>
      </c>
      <c r="J46" s="278">
        <f>+AVERAGE(I46:I52)</f>
        <v>0.5</v>
      </c>
    </row>
    <row r="47" spans="1:10" ht="92.25" customHeight="1" x14ac:dyDescent="0.25">
      <c r="A47" s="1"/>
      <c r="B47" s="1"/>
      <c r="C47" s="139">
        <v>29</v>
      </c>
      <c r="D47" s="288"/>
      <c r="E47" s="125" t="str">
        <f>+IFERROR(INDEX(Hoja1!$E$2:$E$45,MATCH('Análisis Resultados'!C47,Hoja1!$H$2:$H$45,0)),"")</f>
        <v>Canales de comunicación con los ciudadanos</v>
      </c>
      <c r="F47" s="126" t="str">
        <f>+IFERROR(VLOOKUP(C47,Hoja1!$H$2:$I$45,2,0),"")</f>
        <v>En proceso</v>
      </c>
      <c r="G47" s="137" t="str">
        <f t="shared" si="0"/>
        <v>Se encuentra en proceso, pero requiere continuar con acciones dirigidas a contar con dicho aspecto de control.</v>
      </c>
      <c r="H47" s="18"/>
      <c r="I47" s="145">
        <f t="shared" si="1"/>
        <v>0.5</v>
      </c>
      <c r="J47" s="278"/>
    </row>
    <row r="48" spans="1:10" ht="66.75" customHeight="1" x14ac:dyDescent="0.25">
      <c r="A48" s="1"/>
      <c r="B48" s="1"/>
      <c r="C48" s="139">
        <v>30</v>
      </c>
      <c r="D48" s="288"/>
      <c r="E48" s="125" t="str">
        <f>+IFERROR(INDEX(Hoja1!$E$2:$E$45,MATCH('Análisis Resultados'!C48,Hoja1!$H$2:$H$45,0)),"")</f>
        <v>Canales de comunicación o mecanismos de reporte de información a otros organismos gubernamentales o de control</v>
      </c>
      <c r="F48" s="126" t="str">
        <f>+IFERROR(VLOOKUP(C48,Hoja1!$H$2:$I$45,2,0),"")</f>
        <v>En proceso</v>
      </c>
      <c r="G48" s="137" t="str">
        <f t="shared" si="0"/>
        <v>Se encuentra en proceso, pero requiere continuar con acciones dirigidas a contar con dicho aspecto de control.</v>
      </c>
      <c r="H48" s="18"/>
      <c r="I48" s="145">
        <f t="shared" si="1"/>
        <v>0.5</v>
      </c>
      <c r="J48" s="278"/>
    </row>
    <row r="49" spans="1:10" ht="60" customHeight="1" x14ac:dyDescent="0.25">
      <c r="A49" s="1"/>
      <c r="B49" s="1"/>
      <c r="C49" s="139">
        <v>31</v>
      </c>
      <c r="D49" s="288"/>
      <c r="E49" s="125" t="str">
        <f>+IFERROR(INDEX(Hoja1!$E$2:$E$45,MATCH('Análisis Resultados'!C49,Hoja1!$H$2:$H$45,0)),"")</f>
        <v xml:space="preserve">Lineamientos para dar tratamiento a la información de carácter reservado </v>
      </c>
      <c r="F49" s="126" t="str">
        <f>+IFERROR(VLOOKUP(C49,Hoja1!$H$2:$I$45,2,0),"")</f>
        <v>En proceso</v>
      </c>
      <c r="G49" s="137" t="str">
        <f t="shared" si="0"/>
        <v>Se encuentra en proceso, pero requiere continuar con acciones dirigidas a contar con dicho aspecto de control.</v>
      </c>
      <c r="H49" s="18"/>
      <c r="I49" s="145">
        <f t="shared" si="1"/>
        <v>0.5</v>
      </c>
      <c r="J49" s="278"/>
    </row>
    <row r="50" spans="1:10" ht="57" customHeight="1" x14ac:dyDescent="0.25">
      <c r="A50" s="1"/>
      <c r="B50" s="1"/>
      <c r="C50" s="139">
        <v>32</v>
      </c>
      <c r="D50" s="288"/>
      <c r="E50" s="125" t="str">
        <f>+IFERROR(INDEX(Hoja1!$E$2:$E$45,MATCH('Análisis Resultados'!C50,Hoja1!$H$2:$H$45,0)),"")</f>
        <v>Identificación de información que produce en el marco de su gestión (Para los ciudadanos, organismos de control, organismos gubernamentales, entre otros)</v>
      </c>
      <c r="F50" s="126" t="str">
        <f>+IFERROR(VLOOKUP(C50,Hoja1!$H$2:$I$45,2,0),"")</f>
        <v>En proceso</v>
      </c>
      <c r="G50" s="137" t="str">
        <f t="shared" si="0"/>
        <v>Se encuentra en proceso, pero requiere continuar con acciones dirigidas a contar con dicho aspecto de control.</v>
      </c>
      <c r="H50" s="18"/>
      <c r="I50" s="145">
        <f t="shared" si="1"/>
        <v>0.5</v>
      </c>
      <c r="J50" s="278"/>
    </row>
    <row r="51" spans="1:10" ht="57" customHeight="1" x14ac:dyDescent="0.25">
      <c r="A51" s="1"/>
      <c r="B51" s="1"/>
      <c r="C51" s="139">
        <v>33</v>
      </c>
      <c r="D51" s="288"/>
      <c r="E51" s="125" t="str">
        <f>+IFERROR(INDEX(Hoja1!$E$2:$E$45,MATCH('Análisis Resultados'!C51,Hoja1!$H$2:$H$45,0)),"")</f>
        <v>Identificación de información necesaria para la operación de la entidad (normograma, presupuesto, talento humano, infraestructura física y tecnológica)</v>
      </c>
      <c r="F51" s="126" t="str">
        <f>+IFERROR(VLOOKUP(C51,Hoja1!$H$2:$I$45,2,0),"")</f>
        <v>En proceso</v>
      </c>
      <c r="G51" s="137" t="str">
        <f t="shared" si="0"/>
        <v>Se encuentra en proceso, pero requiere continuar con acciones dirigidas a contar con dicho aspecto de control.</v>
      </c>
      <c r="H51" s="18"/>
      <c r="I51" s="145">
        <f t="shared" si="1"/>
        <v>0.5</v>
      </c>
      <c r="J51" s="278"/>
    </row>
    <row r="52" spans="1:10" ht="45.75" thickBot="1" x14ac:dyDescent="0.3">
      <c r="A52" s="1"/>
      <c r="B52" s="1"/>
      <c r="C52" s="139">
        <v>34</v>
      </c>
      <c r="D52" s="288"/>
      <c r="E52" s="131" t="str">
        <f>+IFERROR(INDEX(Hoja1!$E$2:$E$45,MATCH('Análisis Resultados'!C52,Hoja1!$H$2:$H$45,0)),"")</f>
        <v>Si su capacidad e infraestructura lo permite, tecnologías de la información y las comunicaciones que soporten estos procesos</v>
      </c>
      <c r="F52" s="132" t="str">
        <f>+IFERROR(VLOOKUP(C52,Hoja1!$H$2:$I$45,2,0),"")</f>
        <v>En proceso</v>
      </c>
      <c r="G52" s="138" t="str">
        <f t="shared" si="0"/>
        <v>Se encuentra en proceso, pero requiere continuar con acciones dirigidas a contar con dicho aspecto de control.</v>
      </c>
      <c r="H52" s="18"/>
      <c r="I52" s="146">
        <f t="shared" si="1"/>
        <v>0.5</v>
      </c>
      <c r="J52" s="278"/>
    </row>
    <row r="53" spans="1:10" ht="41.25" customHeight="1" x14ac:dyDescent="0.25">
      <c r="A53" s="1"/>
      <c r="B53" s="1"/>
      <c r="C53" s="139">
        <v>35</v>
      </c>
      <c r="D53" s="282" t="s">
        <v>96</v>
      </c>
      <c r="E53" s="122" t="str">
        <f>+IFERROR(INDEX(Hoja1!$E$2:$E$45,MATCH('Análisis Resultados'!C53,Hoja1!$H$2:$H$45,0)),"")</f>
        <v>Evitar que los problemas (riesgos) obstaculicen el cumplimiento de los objetivos.</v>
      </c>
      <c r="F53" s="123" t="str">
        <f>+IFERROR(VLOOKUP(C53,Hoja1!$H$2:$I$45,2,0),"")</f>
        <v>En proceso</v>
      </c>
      <c r="G53" s="124" t="str">
        <f t="shared" si="0"/>
        <v>Se encuentra en proceso, pero requiere continuar con acciones dirigidas a contar con dicho aspecto de control.</v>
      </c>
      <c r="H53" s="18"/>
      <c r="I53" s="140">
        <f t="shared" si="1"/>
        <v>0.5</v>
      </c>
      <c r="J53" s="285">
        <f>+AVERAGE(I53:I62)</f>
        <v>0.75</v>
      </c>
    </row>
    <row r="54" spans="1:10" ht="58.5" customHeight="1" x14ac:dyDescent="0.25">
      <c r="A54" s="1"/>
      <c r="B54" s="1"/>
      <c r="C54" s="139">
        <v>36</v>
      </c>
      <c r="D54" s="283"/>
      <c r="E54" s="125" t="str">
        <f>+IFERROR(INDEX(Hoja1!$E$2:$E$45,MATCH('Análisis Resultados'!C54,Hoja1!$H$2:$H$45,0)),"")</f>
        <v>Controlar los puntos críticos en los procesos.</v>
      </c>
      <c r="F54" s="126" t="str">
        <f>+IFERROR(VLOOKUP(C54,Hoja1!$H$2:$I$45,2,0),"")</f>
        <v>En proceso</v>
      </c>
      <c r="G54" s="127" t="str">
        <f t="shared" si="0"/>
        <v>Se encuentra en proceso, pero requiere continuar con acciones dirigidas a contar con dicho aspecto de control.</v>
      </c>
      <c r="H54" s="18"/>
      <c r="I54" s="141">
        <f t="shared" si="1"/>
        <v>0.5</v>
      </c>
      <c r="J54" s="286"/>
    </row>
    <row r="55" spans="1:10" s="1" customFormat="1" ht="84.75" customHeight="1" x14ac:dyDescent="0.25">
      <c r="C55" s="139">
        <v>37</v>
      </c>
      <c r="D55" s="283"/>
      <c r="E55" s="125" t="str">
        <f>+IFERROR(INDEX(Hoja1!$E$2:$E$45,MATCH('Análisis Resultados'!C55,Hoja1!$H$2:$H$45,0)),"")</f>
        <v>Diseñar acciones adecuadas para controlar los problemas que afectan el cumplimiento de las metas y objetivos institucionales (riesgos).</v>
      </c>
      <c r="F55" s="126" t="str">
        <f>+IFERROR(VLOOKUP(C55,Hoja1!$H$2:$I$45,2,0),"")</f>
        <v>En proceso</v>
      </c>
      <c r="G55" s="127" t="str">
        <f t="shared" si="0"/>
        <v>Se encuentra en proceso, pero requiere continuar con acciones dirigidas a contar con dicho aspecto de control.</v>
      </c>
      <c r="H55" s="6"/>
      <c r="I55" s="141">
        <f t="shared" si="1"/>
        <v>0.5</v>
      </c>
      <c r="J55" s="286"/>
    </row>
    <row r="56" spans="1:10" s="1" customFormat="1" ht="78.75" customHeight="1" x14ac:dyDescent="0.25">
      <c r="C56" s="139">
        <v>38</v>
      </c>
      <c r="D56" s="283"/>
      <c r="E56" s="125" t="str">
        <f>+IFERROR(INDEX(Hoja1!$E$2:$E$45,MATCH('Análisis Resultados'!C56,Hoja1!$H$2:$H$45,0)),"")</f>
        <v>Ejecutar las acciones de acuerdo a como se diseñaron previamente.</v>
      </c>
      <c r="F56" s="126" t="str">
        <f>+IFERROR(VLOOKUP(C56,Hoja1!$H$2:$I$45,2,0),"")</f>
        <v>En proceso</v>
      </c>
      <c r="G56" s="127" t="str">
        <f t="shared" si="0"/>
        <v>Se encuentra en proceso, pero requiere continuar con acciones dirigidas a contar con dicho aspecto de control.</v>
      </c>
      <c r="H56" s="6"/>
      <c r="I56" s="141">
        <f t="shared" si="1"/>
        <v>0.5</v>
      </c>
      <c r="J56" s="286"/>
    </row>
    <row r="57" spans="1:10" s="1" customFormat="1" ht="54.75" customHeight="1" x14ac:dyDescent="0.25">
      <c r="C57" s="139">
        <v>39</v>
      </c>
      <c r="D57" s="283"/>
      <c r="E57" s="125" t="str">
        <f>+IFERROR(INDEX(Hoja1!$E$2:$E$45,MATCH('Análisis Resultados'!C57,Hoja1!$H$2:$H$45,0)),"")</f>
        <v>No se gestionan los problemas que afectan el cumplimiento de las funciones y objetivos institucionales(riesgos).</v>
      </c>
      <c r="F57" s="126" t="str">
        <f>+IFERROR(VLOOKUP(C57,Hoja1!$H$2:$I$45,2,0),"")</f>
        <v>En proceso</v>
      </c>
      <c r="G57" s="127" t="str">
        <f t="shared" si="0"/>
        <v>Se encuentra en proceso, pero requiere continuar con acciones dirigidas a contar con dicho aspecto de control.</v>
      </c>
      <c r="H57" s="6"/>
      <c r="I57" s="141">
        <f t="shared" si="1"/>
        <v>0.5</v>
      </c>
      <c r="J57" s="286"/>
    </row>
    <row r="58" spans="1:10" s="1" customFormat="1" ht="68.25" customHeight="1" x14ac:dyDescent="0.25">
      <c r="C58" s="139">
        <v>40</v>
      </c>
      <c r="D58" s="283"/>
      <c r="E58" s="125" t="str">
        <f>+IFERROR(INDEX(Hoja1!$E$2:$E$45,MATCH('Análisis Resultados'!C58,Hoja1!$H$2:$H$45,0)),"")</f>
        <v>Mecanismos de evaluación de la gestión (cronogramas, indicadores, listas de chequeo u otros)</v>
      </c>
      <c r="F58" s="126" t="str">
        <f>+IFERROR(VLOOKUP(C58,Hoja1!$H$2:$I$45,2,0),"")</f>
        <v>Si</v>
      </c>
      <c r="G58" s="127" t="str">
        <f t="shared" si="0"/>
        <v>Existe requerimiento pero se requiere actividades  dirigidas a su mantenimiento dentro del marco de las lineas de defensa.</v>
      </c>
      <c r="H58" s="6"/>
      <c r="I58" s="141">
        <f t="shared" si="1"/>
        <v>1</v>
      </c>
      <c r="J58" s="286"/>
    </row>
    <row r="59" spans="1:10" s="1" customFormat="1" ht="45" customHeight="1" x14ac:dyDescent="0.25">
      <c r="C59" s="139">
        <v>41</v>
      </c>
      <c r="D59" s="283"/>
      <c r="E59" s="125" t="str">
        <f>+IFERROR(INDEX(Hoja1!$E$2:$E$45,MATCH('Análisis Resultados'!C59,Hoja1!$H$2:$H$45,0)),"")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9" s="126" t="str">
        <f>+IFERROR(VLOOKUP(C59,Hoja1!$H$2:$I$45,2,0),"")</f>
        <v>Si</v>
      </c>
      <c r="G59" s="127" t="str">
        <f t="shared" si="0"/>
        <v>Existe requerimiento pero se requiere actividades  dirigidas a su mantenimiento dentro del marco de las lineas de defensa.</v>
      </c>
      <c r="H59" s="6"/>
      <c r="I59" s="141">
        <f t="shared" si="1"/>
        <v>1</v>
      </c>
      <c r="J59" s="286"/>
    </row>
    <row r="60" spans="1:10" s="1" customFormat="1" ht="51.75" customHeight="1" x14ac:dyDescent="0.25">
      <c r="C60" s="139">
        <v>42</v>
      </c>
      <c r="D60" s="283"/>
      <c r="E60" s="125" t="str">
        <f>+IFERROR(INDEX(Hoja1!$E$2:$E$45,MATCH('Análisis Resultados'!C60,Hoja1!$H$2:$H$45,0)),"")</f>
        <v>Medidas correctivas en caso de detectarse deficiencias en los ejercicios de evaluación, seguimiento o auditoría</v>
      </c>
      <c r="F60" s="126" t="str">
        <f>+IFERROR(VLOOKUP(C60,Hoja1!$H$2:$I$45,2,0),"")</f>
        <v>Si</v>
      </c>
      <c r="G60" s="127" t="str">
        <f t="shared" si="0"/>
        <v>Existe requerimiento pero se requiere actividades  dirigidas a su mantenimiento dentro del marco de las lineas de defensa.</v>
      </c>
      <c r="H60" s="6"/>
      <c r="I60" s="141">
        <f t="shared" si="1"/>
        <v>1</v>
      </c>
      <c r="J60" s="286"/>
    </row>
    <row r="61" spans="1:10" s="1" customFormat="1" ht="84" customHeight="1" x14ac:dyDescent="0.25">
      <c r="C61" s="139">
        <v>43</v>
      </c>
      <c r="D61" s="283"/>
      <c r="E61" s="125" t="str">
        <f>+IFERROR(INDEX(Hoja1!$E$2:$E$45,MATCH('Análisis Resultados'!C61,Hoja1!$H$2:$H$45,0)),"")</f>
        <v>Seguimiento a los planes de mejoramiento suscritos con instancias de control internas o externas</v>
      </c>
      <c r="F61" s="126" t="str">
        <f>+IFERROR(VLOOKUP(C61,Hoja1!$H$2:$I$45,2,0),"")</f>
        <v>Si</v>
      </c>
      <c r="G61" s="127" t="str">
        <f t="shared" si="0"/>
        <v>Existe requerimiento pero se requiere actividades  dirigidas a su mantenimiento dentro del marco de las lineas de defensa.</v>
      </c>
      <c r="H61" s="6"/>
      <c r="I61" s="141">
        <f t="shared" si="1"/>
        <v>1</v>
      </c>
      <c r="J61" s="286"/>
    </row>
    <row r="62" spans="1:10" s="1" customFormat="1" ht="60" customHeight="1" thickBot="1" x14ac:dyDescent="0.3">
      <c r="C62" s="139">
        <v>44</v>
      </c>
      <c r="D62" s="284"/>
      <c r="E62" s="128" t="str">
        <f>+IFERROR(INDEX(Hoja1!$E$2:$E$45,MATCH('Análisis Resultados'!C62,Hoja1!$H$2:$H$45,0)),"")</f>
        <v>La entidad participa en el  Comité Municipal de Auditoría?</v>
      </c>
      <c r="F62" s="129" t="str">
        <f>+IFERROR(VLOOKUP(C62,Hoja1!$H$2:$I$45,2,0),"")</f>
        <v>Si</v>
      </c>
      <c r="G62" s="130" t="str">
        <f t="shared" si="0"/>
        <v>Existe requerimiento pero se requiere actividades  dirigidas a su mantenimiento dentro del marco de las lineas de defensa.</v>
      </c>
      <c r="H62" s="6"/>
      <c r="I62" s="142">
        <f t="shared" si="1"/>
        <v>1</v>
      </c>
      <c r="J62" s="287"/>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C29" zoomScale="80" zoomScaleNormal="80" workbookViewId="0">
      <selection activeCell="E34" sqref="E34"/>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2" t="s">
        <v>123</v>
      </c>
      <c r="F4" s="304" t="s">
        <v>217</v>
      </c>
      <c r="G4" s="304"/>
      <c r="H4" s="304"/>
      <c r="I4" s="304"/>
      <c r="J4" s="304"/>
      <c r="K4" s="304"/>
      <c r="L4" s="304"/>
      <c r="M4" s="304"/>
      <c r="N4" s="7"/>
      <c r="O4" s="7"/>
      <c r="P4" s="8"/>
      <c r="Q4" s="1"/>
    </row>
    <row r="5" spans="1:17" ht="45.75" customHeight="1" x14ac:dyDescent="0.3">
      <c r="A5" s="1"/>
      <c r="B5" s="5"/>
      <c r="C5" s="6"/>
      <c r="D5" s="6"/>
      <c r="E5" s="303"/>
      <c r="F5" s="304"/>
      <c r="G5" s="304"/>
      <c r="H5" s="304"/>
      <c r="I5" s="304"/>
      <c r="J5" s="304"/>
      <c r="K5" s="304"/>
      <c r="L5" s="304"/>
      <c r="M5" s="304"/>
      <c r="N5" s="7"/>
      <c r="O5" s="7"/>
      <c r="P5" s="8"/>
      <c r="Q5" s="1"/>
    </row>
    <row r="6" spans="1:17" ht="66.75" customHeight="1" x14ac:dyDescent="0.3">
      <c r="A6" s="1"/>
      <c r="B6" s="5"/>
      <c r="C6" s="6"/>
      <c r="D6" s="6"/>
      <c r="E6" s="96" t="s">
        <v>124</v>
      </c>
      <c r="F6" s="305" t="s">
        <v>218</v>
      </c>
      <c r="G6" s="306"/>
      <c r="H6" s="306"/>
      <c r="I6" s="306"/>
      <c r="J6" s="306"/>
      <c r="K6" s="306"/>
      <c r="L6" s="306"/>
      <c r="M6" s="307"/>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8" t="s">
        <v>125</v>
      </c>
      <c r="J8" s="309"/>
      <c r="K8" s="310"/>
      <c r="L8" s="6"/>
      <c r="M8" s="147">
        <f>+AVERAGE(G26,G28,G30,G32,G34)</f>
        <v>0.64</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1" t="s">
        <v>126</v>
      </c>
      <c r="D18" s="312"/>
      <c r="E18" s="312"/>
      <c r="F18" s="312"/>
      <c r="G18" s="312"/>
      <c r="H18" s="312"/>
      <c r="I18" s="312"/>
      <c r="J18" s="312"/>
      <c r="K18" s="312"/>
      <c r="L18" s="312"/>
      <c r="M18" s="313"/>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91.25" customHeight="1" thickBot="1" x14ac:dyDescent="0.3">
      <c r="A20" s="1"/>
      <c r="B20" s="5"/>
      <c r="C20" s="314" t="s">
        <v>127</v>
      </c>
      <c r="D20" s="315"/>
      <c r="E20" s="150" t="s">
        <v>75</v>
      </c>
      <c r="F20" s="317" t="s">
        <v>219</v>
      </c>
      <c r="G20" s="317"/>
      <c r="H20" s="317"/>
      <c r="I20" s="317"/>
      <c r="J20" s="317"/>
      <c r="K20" s="317"/>
      <c r="L20" s="317"/>
      <c r="M20" s="318"/>
      <c r="N20" s="15"/>
      <c r="O20" s="15"/>
      <c r="P20" s="8"/>
      <c r="Q20" s="1"/>
    </row>
    <row r="21" spans="1:17" ht="204" customHeight="1" thickBot="1" x14ac:dyDescent="0.3">
      <c r="A21" s="1"/>
      <c r="B21" s="5"/>
      <c r="C21" s="298" t="s">
        <v>128</v>
      </c>
      <c r="D21" s="299"/>
      <c r="E21" s="151" t="s">
        <v>38</v>
      </c>
      <c r="F21" s="317" t="s">
        <v>220</v>
      </c>
      <c r="G21" s="317"/>
      <c r="H21" s="317"/>
      <c r="I21" s="317"/>
      <c r="J21" s="317"/>
      <c r="K21" s="317"/>
      <c r="L21" s="317"/>
      <c r="M21" s="318"/>
      <c r="N21" s="15"/>
      <c r="O21" s="15"/>
      <c r="P21" s="8"/>
      <c r="Q21" s="1"/>
    </row>
    <row r="22" spans="1:17" ht="151.5" customHeight="1" thickBot="1" x14ac:dyDescent="0.3">
      <c r="A22" s="1"/>
      <c r="B22" s="5"/>
      <c r="C22" s="300" t="s">
        <v>129</v>
      </c>
      <c r="D22" s="301"/>
      <c r="E22" s="152" t="s">
        <v>38</v>
      </c>
      <c r="F22" s="317" t="s">
        <v>221</v>
      </c>
      <c r="G22" s="317"/>
      <c r="H22" s="317"/>
      <c r="I22" s="317"/>
      <c r="J22" s="317"/>
      <c r="K22" s="317"/>
      <c r="L22" s="317"/>
      <c r="M22" s="318"/>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130</v>
      </c>
      <c r="D24" s="100"/>
      <c r="E24" s="99" t="s">
        <v>131</v>
      </c>
      <c r="F24" s="100"/>
      <c r="G24" s="99" t="s">
        <v>132</v>
      </c>
      <c r="H24" s="100"/>
      <c r="I24" s="295" t="s">
        <v>133</v>
      </c>
      <c r="J24" s="295"/>
      <c r="K24" s="295"/>
      <c r="L24" s="295"/>
      <c r="M24" s="295"/>
      <c r="N24" s="33"/>
      <c r="O24" s="33"/>
      <c r="P24" s="8"/>
      <c r="Q24" s="17"/>
    </row>
    <row r="25" spans="1:17" ht="13.5" customHeight="1" thickBot="1" x14ac:dyDescent="0.3">
      <c r="A25" s="1"/>
      <c r="B25" s="5"/>
      <c r="C25" s="32"/>
      <c r="D25" s="18"/>
      <c r="E25" s="18"/>
      <c r="F25" s="18"/>
      <c r="G25" s="18"/>
      <c r="H25" s="18"/>
      <c r="I25" s="296"/>
      <c r="J25" s="296"/>
      <c r="K25" s="296"/>
      <c r="L25" s="296"/>
      <c r="M25" s="296"/>
      <c r="N25" s="34"/>
      <c r="O25" s="34"/>
      <c r="P25" s="8"/>
      <c r="Q25" s="1"/>
    </row>
    <row r="26" spans="1:17" ht="155.25" customHeight="1" thickBot="1" x14ac:dyDescent="0.3">
      <c r="A26" s="1"/>
      <c r="B26" s="5"/>
      <c r="C26" s="90" t="s">
        <v>32</v>
      </c>
      <c r="D26" s="19"/>
      <c r="E26" s="148" t="str">
        <f>+IF(Hoja1!K2&gt;=0.5,"Si","No")</f>
        <v>Si</v>
      </c>
      <c r="F26" s="20"/>
      <c r="G26" s="149">
        <f>+Hoja1!K2</f>
        <v>0.75</v>
      </c>
      <c r="H26" s="20"/>
      <c r="I26" s="319" t="s">
        <v>222</v>
      </c>
      <c r="J26" s="320"/>
      <c r="K26" s="320"/>
      <c r="L26" s="320"/>
      <c r="M26" s="321"/>
      <c r="N26" s="35"/>
      <c r="O26" s="36"/>
      <c r="P26" s="21"/>
      <c r="Q26" s="22"/>
    </row>
    <row r="27" spans="1:17" ht="27" thickBot="1" x14ac:dyDescent="0.45">
      <c r="A27" s="1"/>
      <c r="B27" s="5"/>
      <c r="C27" s="91"/>
      <c r="D27" s="23"/>
      <c r="E27" s="98"/>
      <c r="F27" s="18"/>
      <c r="G27" s="24"/>
      <c r="H27" s="18"/>
      <c r="I27" s="297"/>
      <c r="J27" s="297"/>
      <c r="K27" s="297"/>
      <c r="L27" s="297"/>
      <c r="M27" s="297"/>
      <c r="N27" s="37"/>
      <c r="O27" s="37"/>
      <c r="P27" s="8"/>
      <c r="Q27" s="1"/>
    </row>
    <row r="28" spans="1:17" ht="111.75" customHeight="1" thickBot="1" x14ac:dyDescent="0.3">
      <c r="A28" s="1"/>
      <c r="B28" s="5"/>
      <c r="C28" s="92" t="s">
        <v>134</v>
      </c>
      <c r="D28" s="19"/>
      <c r="E28" s="148" t="str">
        <f>+IF(Hoja1!K14&gt;=0.5,"Si","No")</f>
        <v>Si</v>
      </c>
      <c r="F28" s="18"/>
      <c r="G28" s="149">
        <f>+Hoja1!K14</f>
        <v>0.7</v>
      </c>
      <c r="H28" s="18"/>
      <c r="I28" s="319" t="s">
        <v>223</v>
      </c>
      <c r="J28" s="320"/>
      <c r="K28" s="320"/>
      <c r="L28" s="320"/>
      <c r="M28" s="321"/>
      <c r="N28" s="35"/>
      <c r="O28" s="35"/>
      <c r="P28" s="8"/>
      <c r="Q28" s="1"/>
    </row>
    <row r="29" spans="1:17" ht="27" thickBot="1" x14ac:dyDescent="0.45">
      <c r="A29" s="1"/>
      <c r="B29" s="5"/>
      <c r="C29" s="91"/>
      <c r="D29" s="23"/>
      <c r="E29" s="98"/>
      <c r="F29" s="18"/>
      <c r="G29" s="24"/>
      <c r="H29" s="18"/>
      <c r="I29" s="297"/>
      <c r="J29" s="297"/>
      <c r="K29" s="297"/>
      <c r="L29" s="297"/>
      <c r="M29" s="297"/>
      <c r="N29" s="37"/>
      <c r="O29" s="37"/>
      <c r="P29" s="8"/>
      <c r="Q29" s="1"/>
    </row>
    <row r="30" spans="1:17" ht="123" customHeight="1" thickBot="1" x14ac:dyDescent="0.3">
      <c r="A30" s="1"/>
      <c r="B30" s="5"/>
      <c r="C30" s="93" t="s">
        <v>135</v>
      </c>
      <c r="D30" s="19"/>
      <c r="E30" s="148" t="str">
        <f>+IF(Hoja1!K24&gt;=0.5,"Si","No")</f>
        <v>Si</v>
      </c>
      <c r="F30" s="18"/>
      <c r="G30" s="149">
        <f>+Hoja1!K24</f>
        <v>0.5</v>
      </c>
      <c r="H30" s="18"/>
      <c r="I30" s="319" t="s">
        <v>225</v>
      </c>
      <c r="J30" s="320"/>
      <c r="K30" s="320"/>
      <c r="L30" s="320"/>
      <c r="M30" s="321"/>
      <c r="N30" s="35"/>
      <c r="O30" s="35"/>
      <c r="P30" s="8"/>
      <c r="Q30" s="1"/>
    </row>
    <row r="31" spans="1:17" ht="27" thickBot="1" x14ac:dyDescent="0.45">
      <c r="A31" s="1"/>
      <c r="B31" s="5"/>
      <c r="C31" s="91"/>
      <c r="D31" s="23"/>
      <c r="E31" s="98"/>
      <c r="F31" s="18"/>
      <c r="G31" s="24"/>
      <c r="H31" s="18"/>
      <c r="I31" s="297"/>
      <c r="J31" s="297"/>
      <c r="K31" s="297"/>
      <c r="L31" s="297"/>
      <c r="M31" s="297"/>
      <c r="N31" s="37"/>
      <c r="O31" s="37"/>
      <c r="P31" s="8"/>
      <c r="Q31" s="1"/>
    </row>
    <row r="32" spans="1:17" ht="171" customHeight="1" thickBot="1" x14ac:dyDescent="0.3">
      <c r="A32" s="1"/>
      <c r="B32" s="5"/>
      <c r="C32" s="94" t="s">
        <v>86</v>
      </c>
      <c r="D32" s="19"/>
      <c r="E32" s="148" t="str">
        <f>+IF(Hoja1!K29&gt;=0.5,"Si","No")</f>
        <v>Si</v>
      </c>
      <c r="F32" s="18"/>
      <c r="G32" s="149">
        <f>+Hoja1!K29</f>
        <v>0.5</v>
      </c>
      <c r="H32" s="18"/>
      <c r="I32" s="319" t="s">
        <v>226</v>
      </c>
      <c r="J32" s="320"/>
      <c r="K32" s="320"/>
      <c r="L32" s="320"/>
      <c r="M32" s="321"/>
      <c r="N32" s="35"/>
      <c r="O32" s="35"/>
      <c r="P32" s="8"/>
      <c r="Q32" s="1"/>
    </row>
    <row r="33" spans="1:17" ht="27" thickBot="1" x14ac:dyDescent="0.45">
      <c r="A33" s="1"/>
      <c r="B33" s="5"/>
      <c r="C33" s="91"/>
      <c r="D33" s="23"/>
      <c r="E33" s="98"/>
      <c r="F33" s="18"/>
      <c r="G33" s="24"/>
      <c r="H33" s="18"/>
      <c r="I33" s="297"/>
      <c r="J33" s="297"/>
      <c r="K33" s="297"/>
      <c r="L33" s="297"/>
      <c r="M33" s="297"/>
      <c r="N33" s="37"/>
      <c r="O33" s="37"/>
      <c r="P33" s="8"/>
      <c r="Q33" s="1"/>
    </row>
    <row r="34" spans="1:17" ht="164.25" customHeight="1" thickBot="1" x14ac:dyDescent="0.3">
      <c r="A34" s="1"/>
      <c r="B34" s="5"/>
      <c r="C34" s="95" t="s">
        <v>136</v>
      </c>
      <c r="D34" s="19"/>
      <c r="E34" s="97" t="str">
        <f>+IF(Hoja1!K36&gt;=0.5,"Si","No")</f>
        <v>Si</v>
      </c>
      <c r="F34" s="18"/>
      <c r="G34" s="149">
        <f>+Hoja1!K36</f>
        <v>0.75</v>
      </c>
      <c r="H34" s="18"/>
      <c r="I34" s="319" t="s">
        <v>224</v>
      </c>
      <c r="J34" s="320"/>
      <c r="K34" s="320"/>
      <c r="L34" s="320"/>
      <c r="M34" s="321"/>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3" t="s">
        <v>25</v>
      </c>
      <c r="B1" s="153" t="s">
        <v>6</v>
      </c>
      <c r="C1" s="154" t="s">
        <v>8</v>
      </c>
      <c r="D1" s="155" t="s">
        <v>26</v>
      </c>
      <c r="E1" s="155" t="s">
        <v>27</v>
      </c>
      <c r="F1" s="155" t="s">
        <v>137</v>
      </c>
      <c r="G1" s="156" t="s">
        <v>138</v>
      </c>
      <c r="H1" s="156" t="s">
        <v>139</v>
      </c>
      <c r="I1" s="156" t="s">
        <v>118</v>
      </c>
      <c r="J1" s="156" t="s">
        <v>140</v>
      </c>
      <c r="K1" s="156" t="s">
        <v>141</v>
      </c>
    </row>
    <row r="2" spans="1:11" x14ac:dyDescent="0.25">
      <c r="A2" s="157" t="s">
        <v>142</v>
      </c>
      <c r="B2" s="157" t="str">
        <f>+VLOOKUP(A2,'Estado SCI'!$A$16:$C$59,3,0)</f>
        <v>AMBIENTE DE CONTROL</v>
      </c>
      <c r="C2" s="157" t="s">
        <v>33</v>
      </c>
      <c r="D2" s="157" t="s">
        <v>34</v>
      </c>
      <c r="E2" s="157" t="s">
        <v>35</v>
      </c>
      <c r="F2" s="157" t="str">
        <f>+VLOOKUP(A2,'Estado SCI'!$A$16:$I$59,9,0)</f>
        <v>Mantenimiento del control</v>
      </c>
      <c r="G2" s="157">
        <f>+VLOOKUP(A2,'Estado SCI'!$A$16:$L$59,12,0)</f>
        <v>20.123000000000001</v>
      </c>
      <c r="H2" s="157">
        <f t="shared" ref="H2:H45" si="0">+_xlfn.RANK.EQ(G2,$G$2:$G$45,1)</f>
        <v>7</v>
      </c>
      <c r="I2" s="157" t="str">
        <f>+IF(VLOOKUP(A2,'Estado SCI'!$A$16:$G$59,7,0)="","",VLOOKUP(A2,'Estado SCI'!$A$16:$G$59,7,0))</f>
        <v>Si</v>
      </c>
      <c r="J2" s="158">
        <f>+IF(I2="Si",1,IF(I2="En proceso",0.5,0))</f>
        <v>1</v>
      </c>
      <c r="K2" s="159">
        <f t="shared" ref="K2:K45" si="1">+AVERAGEIF($B$2:$B$45,B2,$J$2:$J$45)</f>
        <v>0.75</v>
      </c>
    </row>
    <row r="3" spans="1:11" x14ac:dyDescent="0.25">
      <c r="A3" s="157" t="s">
        <v>143</v>
      </c>
      <c r="B3" s="157" t="s">
        <v>32</v>
      </c>
      <c r="C3" s="157" t="s">
        <v>33</v>
      </c>
      <c r="D3" s="157" t="s">
        <v>36</v>
      </c>
      <c r="E3" s="157" t="s">
        <v>37</v>
      </c>
      <c r="F3" s="157" t="str">
        <f>+VLOOKUP(A3,'Estado SCI'!$A$16:$I$59,9,0)</f>
        <v>Oportunidad de mejora</v>
      </c>
      <c r="G3" s="157">
        <f>+VLOOKUP(A3,'Estado SCI'!$A$16:$L$59,12,0)</f>
        <v>10.1234</v>
      </c>
      <c r="H3" s="157">
        <f t="shared" si="0"/>
        <v>1</v>
      </c>
      <c r="I3" s="157" t="str">
        <f>+IF(VLOOKUP(A3,'Estado SCI'!$A$16:$G$59,7,0)="","",VLOOKUP(A3,'Estado SCI'!$A$16:$G$59,7,0))</f>
        <v>En proceso</v>
      </c>
      <c r="J3" s="158">
        <f t="shared" ref="J3:J45" si="2">+IF(I3="Si",1,IF(I3="En proceso",0.5,0))</f>
        <v>0.5</v>
      </c>
      <c r="K3" s="159">
        <f t="shared" si="1"/>
        <v>0.75</v>
      </c>
    </row>
    <row r="4" spans="1:11" x14ac:dyDescent="0.25">
      <c r="A4" s="157" t="s">
        <v>144</v>
      </c>
      <c r="B4" s="157" t="s">
        <v>32</v>
      </c>
      <c r="C4" s="157" t="s">
        <v>33</v>
      </c>
      <c r="D4" s="157" t="s">
        <v>39</v>
      </c>
      <c r="E4" s="157" t="s">
        <v>40</v>
      </c>
      <c r="F4" s="157" t="str">
        <f>+VLOOKUP(A4,'Estado SCI'!$A$16:$I$59,9,0)</f>
        <v>Mantenimiento del control</v>
      </c>
      <c r="G4" s="157">
        <f>+VLOOKUP(A4,'Estado SCI'!$A$16:$L$59,12,0)</f>
        <v>20.123449999999998</v>
      </c>
      <c r="H4" s="157">
        <f t="shared" si="0"/>
        <v>8</v>
      </c>
      <c r="I4" s="157" t="str">
        <f>+IF(VLOOKUP(A4,'Estado SCI'!$A$16:$G$59,7,0)="","",VLOOKUP(A4,'Estado SCI'!$A$16:$G$59,7,0))</f>
        <v>Si</v>
      </c>
      <c r="J4" s="158">
        <f t="shared" si="2"/>
        <v>1</v>
      </c>
      <c r="K4" s="159">
        <f t="shared" si="1"/>
        <v>0.75</v>
      </c>
    </row>
    <row r="5" spans="1:11" x14ac:dyDescent="0.25">
      <c r="A5" s="157" t="s">
        <v>145</v>
      </c>
      <c r="B5" s="157" t="s">
        <v>32</v>
      </c>
      <c r="C5" s="157" t="s">
        <v>33</v>
      </c>
      <c r="D5" s="157" t="s">
        <v>41</v>
      </c>
      <c r="E5" s="157" t="s">
        <v>42</v>
      </c>
      <c r="F5" s="157" t="str">
        <f>+VLOOKUP(A5,'Estado SCI'!$A$16:$I$59,9,0)</f>
        <v>Mantenimiento del control</v>
      </c>
      <c r="G5" s="157">
        <f>+VLOOKUP(A5,'Estado SCI'!$A$16:$L$59,12,0)</f>
        <v>20.123456000000001</v>
      </c>
      <c r="H5" s="157">
        <f t="shared" si="0"/>
        <v>9</v>
      </c>
      <c r="I5" s="157" t="str">
        <f>+IF(VLOOKUP(A5,'Estado SCI'!$A$16:$G$59,7,0)="","",VLOOKUP(A5,'Estado SCI'!$A$16:$G$59,7,0))</f>
        <v>Si</v>
      </c>
      <c r="J5" s="158">
        <f t="shared" si="2"/>
        <v>1</v>
      </c>
      <c r="K5" s="159">
        <f t="shared" si="1"/>
        <v>0.75</v>
      </c>
    </row>
    <row r="6" spans="1:11" x14ac:dyDescent="0.25">
      <c r="A6" s="157" t="s">
        <v>146</v>
      </c>
      <c r="B6" s="157" t="s">
        <v>32</v>
      </c>
      <c r="C6" s="157" t="s">
        <v>33</v>
      </c>
      <c r="D6" s="157" t="s">
        <v>43</v>
      </c>
      <c r="E6" s="157" t="s">
        <v>44</v>
      </c>
      <c r="F6" s="157" t="str">
        <f>+VLOOKUP(A6,'Estado SCI'!$A$16:$I$59,9,0)</f>
        <v>Mantenimiento del control</v>
      </c>
      <c r="G6" s="157">
        <f>+VLOOKUP(A6,'Estado SCI'!$A$16:$L$59,12,0)</f>
        <v>20.123456780000001</v>
      </c>
      <c r="H6" s="157">
        <f t="shared" si="0"/>
        <v>10</v>
      </c>
      <c r="I6" s="157" t="str">
        <f>+IF(VLOOKUP(A6,'Estado SCI'!$A$16:$G$59,7,0)="","",VLOOKUP(A6,'Estado SCI'!$A$16:$G$59,7,0))</f>
        <v>Si</v>
      </c>
      <c r="J6" s="158">
        <f t="shared" si="2"/>
        <v>1</v>
      </c>
      <c r="K6" s="159">
        <f t="shared" si="1"/>
        <v>0.75</v>
      </c>
    </row>
    <row r="7" spans="1:11" x14ac:dyDescent="0.25">
      <c r="A7" s="157" t="s">
        <v>147</v>
      </c>
      <c r="B7" s="157" t="s">
        <v>32</v>
      </c>
      <c r="C7" s="157" t="s">
        <v>33</v>
      </c>
      <c r="D7" s="157" t="s">
        <v>45</v>
      </c>
      <c r="E7" s="157" t="s">
        <v>46</v>
      </c>
      <c r="F7" s="157" t="str">
        <f>+VLOOKUP(A7,'Estado SCI'!$A$16:$I$59,9,0)</f>
        <v>Mantenimiento del control</v>
      </c>
      <c r="G7" s="157">
        <f>+VLOOKUP(A7,'Estado SCI'!$A$16:$L$59,12,0)</f>
        <v>20.123456788999999</v>
      </c>
      <c r="H7" s="157">
        <f t="shared" si="0"/>
        <v>11</v>
      </c>
      <c r="I7" s="157" t="str">
        <f>+IF(VLOOKUP(A7,'Estado SCI'!$A$16:$G$59,7,0)="","",VLOOKUP(A7,'Estado SCI'!$A$16:$G$59,7,0))</f>
        <v>Si</v>
      </c>
      <c r="J7" s="158">
        <f t="shared" si="2"/>
        <v>1</v>
      </c>
      <c r="K7" s="159">
        <f t="shared" si="1"/>
        <v>0.75</v>
      </c>
    </row>
    <row r="8" spans="1:11" x14ac:dyDescent="0.25">
      <c r="A8" s="157" t="s">
        <v>148</v>
      </c>
      <c r="B8" s="157" t="s">
        <v>32</v>
      </c>
      <c r="C8" s="157" t="s">
        <v>33</v>
      </c>
      <c r="D8" s="157" t="s">
        <v>47</v>
      </c>
      <c r="E8" s="157" t="s">
        <v>48</v>
      </c>
      <c r="F8" s="157" t="str">
        <f>+VLOOKUP(A8,'Estado SCI'!$A$16:$I$59,9,0)</f>
        <v>Mantenimiento del control</v>
      </c>
      <c r="G8" s="157">
        <f>+VLOOKUP(A8,'Estado SCI'!$A$16:$L$59,12,0)</f>
        <v>20.1234567891</v>
      </c>
      <c r="H8" s="157">
        <f t="shared" si="0"/>
        <v>12</v>
      </c>
      <c r="I8" s="157" t="str">
        <f>+IF(VLOOKUP(A8,'Estado SCI'!$A$16:$G$59,7,0)="","",VLOOKUP(A8,'Estado SCI'!$A$16:$G$59,7,0))</f>
        <v>Si</v>
      </c>
      <c r="J8" s="158">
        <f t="shared" si="2"/>
        <v>1</v>
      </c>
      <c r="K8" s="159">
        <f t="shared" si="1"/>
        <v>0.75</v>
      </c>
    </row>
    <row r="9" spans="1:11" x14ac:dyDescent="0.25">
      <c r="A9" s="157" t="s">
        <v>149</v>
      </c>
      <c r="B9" s="157" t="s">
        <v>32</v>
      </c>
      <c r="C9" s="157" t="s">
        <v>33</v>
      </c>
      <c r="D9" s="157" t="s">
        <v>49</v>
      </c>
      <c r="E9" s="157" t="s">
        <v>50</v>
      </c>
      <c r="F9" s="157" t="str">
        <f>+VLOOKUP(A9,'Estado SCI'!$A$16:$I$59,9,0)</f>
        <v>Oportunidad de mejora</v>
      </c>
      <c r="G9" s="157">
        <f>+VLOOKUP(A9,'Estado SCI'!$A$16:$L$59,12,0)</f>
        <v>10.12345678912</v>
      </c>
      <c r="H9" s="157">
        <f t="shared" si="0"/>
        <v>2</v>
      </c>
      <c r="I9" s="157" t="str">
        <f>+IF(VLOOKUP(A9,'Estado SCI'!$A$16:$G$59,7,0)="","",VLOOKUP(A9,'Estado SCI'!$A$16:$G$59,7,0))</f>
        <v>En proceso</v>
      </c>
      <c r="J9" s="158">
        <f t="shared" si="2"/>
        <v>0.5</v>
      </c>
      <c r="K9" s="159">
        <f t="shared" si="1"/>
        <v>0.75</v>
      </c>
    </row>
    <row r="10" spans="1:11" x14ac:dyDescent="0.25">
      <c r="A10" s="157" t="s">
        <v>150</v>
      </c>
      <c r="B10" s="157" t="s">
        <v>32</v>
      </c>
      <c r="C10" s="157" t="s">
        <v>33</v>
      </c>
      <c r="D10" s="157" t="s">
        <v>51</v>
      </c>
      <c r="E10" s="157" t="s">
        <v>52</v>
      </c>
      <c r="F10" s="157" t="str">
        <f>+VLOOKUP(A10,'Estado SCI'!$A$16:$I$59,9,0)</f>
        <v>Oportunidad de mejora</v>
      </c>
      <c r="G10" s="157">
        <f>+VLOOKUP(A10,'Estado SCI'!$A$16:$L$59,12,0)</f>
        <v>10.123456789123001</v>
      </c>
      <c r="H10" s="157">
        <f t="shared" si="0"/>
        <v>3</v>
      </c>
      <c r="I10" s="157" t="str">
        <f>+IF(VLOOKUP(A10,'Estado SCI'!$A$16:$G$59,7,0)="","",VLOOKUP(A10,'Estado SCI'!$A$16:$G$59,7,0))</f>
        <v>En proceso</v>
      </c>
      <c r="J10" s="158">
        <f t="shared" si="2"/>
        <v>0.5</v>
      </c>
      <c r="K10" s="159">
        <f t="shared" si="1"/>
        <v>0.75</v>
      </c>
    </row>
    <row r="11" spans="1:11" x14ac:dyDescent="0.25">
      <c r="A11" s="157" t="s">
        <v>151</v>
      </c>
      <c r="B11" s="157" t="s">
        <v>32</v>
      </c>
      <c r="C11" s="157" t="s">
        <v>33</v>
      </c>
      <c r="D11" s="157" t="s">
        <v>53</v>
      </c>
      <c r="E11" s="157" t="s">
        <v>54</v>
      </c>
      <c r="F11" s="157" t="str">
        <f>+VLOOKUP(A11,'Estado SCI'!$A$16:$I$59,9,0)</f>
        <v>Oportunidad de mejora</v>
      </c>
      <c r="G11" s="157">
        <f>+VLOOKUP(A11,'Estado SCI'!$A$16:$L$59,12,0)</f>
        <v>10.1234567891234</v>
      </c>
      <c r="H11" s="157">
        <f t="shared" si="0"/>
        <v>4</v>
      </c>
      <c r="I11" s="157" t="str">
        <f>+IF(VLOOKUP(A11,'Estado SCI'!$A$16:$G$59,7,0)="","",VLOOKUP(A11,'Estado SCI'!$A$16:$G$59,7,0))</f>
        <v>En proceso</v>
      </c>
      <c r="J11" s="158">
        <f t="shared" si="2"/>
        <v>0.5</v>
      </c>
      <c r="K11" s="159">
        <f t="shared" si="1"/>
        <v>0.75</v>
      </c>
    </row>
    <row r="12" spans="1:11" x14ac:dyDescent="0.25">
      <c r="A12" s="157" t="s">
        <v>152</v>
      </c>
      <c r="B12" s="157" t="s">
        <v>32</v>
      </c>
      <c r="C12" s="157" t="s">
        <v>33</v>
      </c>
      <c r="D12" s="157" t="s">
        <v>55</v>
      </c>
      <c r="E12" s="157" t="s">
        <v>56</v>
      </c>
      <c r="F12" s="157" t="str">
        <f>+VLOOKUP(A12,'Estado SCI'!$A$16:$I$59,9,0)</f>
        <v>Oportunidad de mejora</v>
      </c>
      <c r="G12" s="157">
        <f>+VLOOKUP(A12,'Estado SCI'!$A$16:$L$59,12,0)</f>
        <v>10.12345678912345</v>
      </c>
      <c r="H12" s="157">
        <f t="shared" si="0"/>
        <v>5</v>
      </c>
      <c r="I12" s="157" t="str">
        <f>+IF(VLOOKUP(A12,'Estado SCI'!$A$16:$G$59,7,0)="","",VLOOKUP(A12,'Estado SCI'!$A$16:$G$59,7,0))</f>
        <v>En proceso</v>
      </c>
      <c r="J12" s="158">
        <f t="shared" si="2"/>
        <v>0.5</v>
      </c>
      <c r="K12" s="159">
        <f t="shared" si="1"/>
        <v>0.75</v>
      </c>
    </row>
    <row r="13" spans="1:11" x14ac:dyDescent="0.25">
      <c r="A13" s="157" t="s">
        <v>153</v>
      </c>
      <c r="B13" s="157" t="s">
        <v>32</v>
      </c>
      <c r="C13" s="157" t="s">
        <v>33</v>
      </c>
      <c r="D13" s="157" t="s">
        <v>57</v>
      </c>
      <c r="E13" s="157" t="s">
        <v>58</v>
      </c>
      <c r="F13" s="157" t="str">
        <f>+VLOOKUP(A13,'Estado SCI'!$A$16:$I$59,9,0)</f>
        <v>Oportunidad de mejora</v>
      </c>
      <c r="G13" s="157">
        <f>+VLOOKUP(A13,'Estado SCI'!$A$16:$L$59,12,0)</f>
        <v>10.123456789123455</v>
      </c>
      <c r="H13" s="157">
        <f t="shared" si="0"/>
        <v>6</v>
      </c>
      <c r="I13" s="157" t="str">
        <f>+IF(VLOOKUP(A13,'Estado SCI'!$A$16:$G$59,7,0)="","",VLOOKUP(A13,'Estado SCI'!$A$16:$G$59,7,0))</f>
        <v>En proceso</v>
      </c>
      <c r="J13" s="158">
        <f t="shared" si="2"/>
        <v>0.5</v>
      </c>
      <c r="K13" s="159">
        <f t="shared" si="1"/>
        <v>0.75</v>
      </c>
    </row>
    <row r="14" spans="1:11" ht="15" customHeight="1" x14ac:dyDescent="0.25">
      <c r="A14" s="157" t="s">
        <v>154</v>
      </c>
      <c r="B14" s="157" t="str">
        <f>+VLOOKUP(A14,'Estado SCI'!$A$16:$C$59,3,0)</f>
        <v>EVALUACION DEL RIESGO</v>
      </c>
      <c r="C14" s="157" t="s">
        <v>61</v>
      </c>
      <c r="D14" s="157" t="s">
        <v>34</v>
      </c>
      <c r="E14" s="157" t="s">
        <v>155</v>
      </c>
      <c r="F14" s="157" t="str">
        <f>+VLOOKUP(A14,'Estado SCI'!$A$16:$I$59,9,0)</f>
        <v>Mantenimiento del control</v>
      </c>
      <c r="G14" s="157">
        <f>+VLOOKUP(A14,'Estado SCI'!$A$16:$L$59,12,0)</f>
        <v>40.229999999999997</v>
      </c>
      <c r="H14" s="157">
        <f t="shared" si="0"/>
        <v>19</v>
      </c>
      <c r="I14" s="157" t="str">
        <f>+IF(VLOOKUP(A14,'Estado SCI'!$A$16:$G$59,7,0)="","",VLOOKUP(A14,'Estado SCI'!$A$16:$G$59,7,0))</f>
        <v>Si</v>
      </c>
      <c r="J14" s="158">
        <f t="shared" si="2"/>
        <v>1</v>
      </c>
      <c r="K14" s="159">
        <f t="shared" si="1"/>
        <v>0.7</v>
      </c>
    </row>
    <row r="15" spans="1:11" ht="15" customHeight="1" x14ac:dyDescent="0.25">
      <c r="A15" s="157" t="s">
        <v>156</v>
      </c>
      <c r="B15" s="157" t="s">
        <v>60</v>
      </c>
      <c r="C15" s="157" t="s">
        <v>61</v>
      </c>
      <c r="D15" s="157" t="s">
        <v>36</v>
      </c>
      <c r="E15" s="157" t="s">
        <v>157</v>
      </c>
      <c r="F15" s="157" t="str">
        <f>+VLOOKUP(A15,'Estado SCI'!$A$16:$I$59,9,0)</f>
        <v>Mantenimiento del control</v>
      </c>
      <c r="G15" s="157">
        <f>+VLOOKUP(A15,'Estado SCI'!$A$16:$L$59,12,0)</f>
        <v>40.234000000000002</v>
      </c>
      <c r="H15" s="157">
        <f t="shared" si="0"/>
        <v>20</v>
      </c>
      <c r="I15" s="157" t="str">
        <f>+IF(VLOOKUP(A15,'Estado SCI'!$A$16:$G$59,7,0)="","",VLOOKUP(A15,'Estado SCI'!$A$16:$G$59,7,0))</f>
        <v>Si</v>
      </c>
      <c r="J15" s="158">
        <f t="shared" si="2"/>
        <v>1</v>
      </c>
      <c r="K15" s="159">
        <f t="shared" si="1"/>
        <v>0.7</v>
      </c>
    </row>
    <row r="16" spans="1:11" ht="15" customHeight="1" x14ac:dyDescent="0.25">
      <c r="A16" s="157" t="s">
        <v>158</v>
      </c>
      <c r="B16" s="157" t="s">
        <v>60</v>
      </c>
      <c r="C16" s="157" t="s">
        <v>61</v>
      </c>
      <c r="D16" s="157" t="s">
        <v>39</v>
      </c>
      <c r="E16" s="157" t="s">
        <v>159</v>
      </c>
      <c r="F16" s="157" t="str">
        <f>+VLOOKUP(A16,'Estado SCI'!$A$16:$I$59,9,0)</f>
        <v>Oportunidad de mejora</v>
      </c>
      <c r="G16" s="157">
        <f>+VLOOKUP(A16,'Estado SCI'!$A$16:$L$59,12,0)</f>
        <v>30.234500000000001</v>
      </c>
      <c r="H16" s="157">
        <f t="shared" si="0"/>
        <v>13</v>
      </c>
      <c r="I16" s="157" t="str">
        <f>+IF(VLOOKUP(A16,'Estado SCI'!$A$16:$G$59,7,0)="","",VLOOKUP(A16,'Estado SCI'!$A$16:$G$59,7,0))</f>
        <v>En proceso</v>
      </c>
      <c r="J16" s="158">
        <f t="shared" si="2"/>
        <v>0.5</v>
      </c>
      <c r="K16" s="159">
        <f t="shared" si="1"/>
        <v>0.7</v>
      </c>
    </row>
    <row r="17" spans="1:11" ht="15.75" customHeight="1" x14ac:dyDescent="0.25">
      <c r="A17" s="157" t="s">
        <v>160</v>
      </c>
      <c r="B17" s="157" t="s">
        <v>60</v>
      </c>
      <c r="C17" s="157" t="s">
        <v>61</v>
      </c>
      <c r="D17" s="157" t="s">
        <v>41</v>
      </c>
      <c r="E17" s="157" t="s">
        <v>65</v>
      </c>
      <c r="F17" s="157" t="str">
        <f>+VLOOKUP(A17,'Estado SCI'!$A$16:$I$59,9,0)</f>
        <v>Oportunidad de mejora</v>
      </c>
      <c r="G17" s="157">
        <f>+VLOOKUP(A17,'Estado SCI'!$A$16:$L$59,12,0)</f>
        <v>30.234559999999998</v>
      </c>
      <c r="H17" s="157">
        <f t="shared" si="0"/>
        <v>14</v>
      </c>
      <c r="I17" s="157" t="str">
        <f>+IF(VLOOKUP(A17,'Estado SCI'!$A$16:$G$59,7,0)="","",VLOOKUP(A17,'Estado SCI'!$A$16:$G$59,7,0))</f>
        <v>En proceso</v>
      </c>
      <c r="J17" s="158">
        <f t="shared" si="2"/>
        <v>0.5</v>
      </c>
      <c r="K17" s="159">
        <f t="shared" si="1"/>
        <v>0.7</v>
      </c>
    </row>
    <row r="18" spans="1:11" ht="15" customHeight="1" x14ac:dyDescent="0.25">
      <c r="A18" s="157" t="s">
        <v>161</v>
      </c>
      <c r="B18" s="157" t="s">
        <v>60</v>
      </c>
      <c r="C18" s="157" t="s">
        <v>79</v>
      </c>
      <c r="D18" s="157" t="s">
        <v>34</v>
      </c>
      <c r="E18" s="157" t="s">
        <v>68</v>
      </c>
      <c r="F18" s="157" t="str">
        <f>+VLOOKUP(A18,'Estado SCI'!$A$16:$I$59,9,0)</f>
        <v>Mantenimiento del control</v>
      </c>
      <c r="G18" s="157">
        <f>+VLOOKUP(A18,'Estado SCI'!$A$16:$L$59,12,0)</f>
        <v>40.234566999999998</v>
      </c>
      <c r="H18" s="157">
        <f t="shared" si="0"/>
        <v>21</v>
      </c>
      <c r="I18" s="157" t="str">
        <f>+IF(VLOOKUP(A18,'Estado SCI'!$A$16:$G$59,7,0)="","",VLOOKUP(A18,'Estado SCI'!$A$16:$G$59,7,0))</f>
        <v>Si</v>
      </c>
      <c r="J18" s="158">
        <f t="shared" si="2"/>
        <v>1</v>
      </c>
      <c r="K18" s="159">
        <f t="shared" si="1"/>
        <v>0.7</v>
      </c>
    </row>
    <row r="19" spans="1:11" ht="15" customHeight="1" x14ac:dyDescent="0.25">
      <c r="A19" s="157" t="s">
        <v>162</v>
      </c>
      <c r="B19" s="157" t="s">
        <v>60</v>
      </c>
      <c r="C19" s="157" t="s">
        <v>79</v>
      </c>
      <c r="D19" s="157" t="s">
        <v>36</v>
      </c>
      <c r="E19" s="157" t="s">
        <v>69</v>
      </c>
      <c r="F19" s="157" t="str">
        <f>+VLOOKUP(A19,'Estado SCI'!$A$16:$I$59,9,0)</f>
        <v>Mantenimiento del control</v>
      </c>
      <c r="G19" s="157">
        <f>+VLOOKUP(A19,'Estado SCI'!$A$16:$L$59,12,0)</f>
        <v>40.234567800000001</v>
      </c>
      <c r="H19" s="157">
        <f t="shared" si="0"/>
        <v>22</v>
      </c>
      <c r="I19" s="157" t="str">
        <f>+IF(VLOOKUP(A19,'Estado SCI'!$A$16:$G$59,7,0)="","",VLOOKUP(A19,'Estado SCI'!$A$16:$G$59,7,0))</f>
        <v>Si</v>
      </c>
      <c r="J19" s="158">
        <f t="shared" si="2"/>
        <v>1</v>
      </c>
      <c r="K19" s="159">
        <f t="shared" si="1"/>
        <v>0.7</v>
      </c>
    </row>
    <row r="20" spans="1:11" ht="15" customHeight="1" x14ac:dyDescent="0.25">
      <c r="A20" s="157" t="s">
        <v>163</v>
      </c>
      <c r="B20" s="157" t="s">
        <v>60</v>
      </c>
      <c r="C20" s="157" t="s">
        <v>79</v>
      </c>
      <c r="D20" s="157" t="s">
        <v>39</v>
      </c>
      <c r="E20" s="157" t="s">
        <v>70</v>
      </c>
      <c r="F20" s="157" t="str">
        <f>+VLOOKUP(A20,'Estado SCI'!$A$16:$I$59,9,0)</f>
        <v>Oportunidad de mejora</v>
      </c>
      <c r="G20" s="157">
        <f>+VLOOKUP(A20,'Estado SCI'!$A$16:$L$59,12,0)</f>
        <v>30.234567890000001</v>
      </c>
      <c r="H20" s="157">
        <f t="shared" si="0"/>
        <v>15</v>
      </c>
      <c r="I20" s="157" t="str">
        <f>+IF(VLOOKUP(A20,'Estado SCI'!$A$16:$G$59,7,0)="","",VLOOKUP(A20,'Estado SCI'!$A$16:$G$59,7,0))</f>
        <v>En proceso</v>
      </c>
      <c r="J20" s="158">
        <f t="shared" si="2"/>
        <v>0.5</v>
      </c>
      <c r="K20" s="159">
        <f t="shared" si="1"/>
        <v>0.7</v>
      </c>
    </row>
    <row r="21" spans="1:11" ht="15.75" customHeight="1" x14ac:dyDescent="0.25">
      <c r="A21" s="157" t="s">
        <v>164</v>
      </c>
      <c r="B21" s="157" t="s">
        <v>60</v>
      </c>
      <c r="C21" s="157" t="s">
        <v>79</v>
      </c>
      <c r="D21" s="157" t="s">
        <v>34</v>
      </c>
      <c r="E21" s="157" t="s">
        <v>73</v>
      </c>
      <c r="F21" s="157" t="str">
        <f>+VLOOKUP(A21,'Estado SCI'!$A$16:$I$59,9,0)</f>
        <v>Oportunidad de mejora</v>
      </c>
      <c r="G21" s="157">
        <f>+VLOOKUP(A21,'Estado SCI'!$A$16:$L$59,12,0)</f>
        <v>30.234567891200001</v>
      </c>
      <c r="H21" s="157">
        <f t="shared" si="0"/>
        <v>16</v>
      </c>
      <c r="I21" s="157" t="str">
        <f>+IF(VLOOKUP(A21,'Estado SCI'!$A$16:$G$59,7,0)="","",VLOOKUP(A21,'Estado SCI'!$A$16:$G$59,7,0))</f>
        <v>En proceso</v>
      </c>
      <c r="J21" s="158">
        <f t="shared" si="2"/>
        <v>0.5</v>
      </c>
      <c r="K21" s="159">
        <f t="shared" si="1"/>
        <v>0.7</v>
      </c>
    </row>
    <row r="22" spans="1:11" ht="15" customHeight="1" x14ac:dyDescent="0.25">
      <c r="A22" s="157" t="s">
        <v>165</v>
      </c>
      <c r="B22" s="157" t="s">
        <v>60</v>
      </c>
      <c r="C22" s="157" t="s">
        <v>87</v>
      </c>
      <c r="D22" s="157" t="s">
        <v>36</v>
      </c>
      <c r="E22" s="157" t="s">
        <v>74</v>
      </c>
      <c r="F22" s="157" t="str">
        <f>+VLOOKUP(A22,'Estado SCI'!$A$16:$I$59,9,0)</f>
        <v>Oportunidad de mejora</v>
      </c>
      <c r="G22" s="157">
        <f>+VLOOKUP(A22,'Estado SCI'!$A$16:$L$59,12,0)</f>
        <v>30.23456789123</v>
      </c>
      <c r="H22" s="157">
        <f t="shared" si="0"/>
        <v>17</v>
      </c>
      <c r="I22" s="157" t="str">
        <f>+IF(VLOOKUP(A22,'Estado SCI'!$A$16:$G$59,7,0)="","",VLOOKUP(A22,'Estado SCI'!$A$16:$G$59,7,0))</f>
        <v>En proceso</v>
      </c>
      <c r="J22" s="158">
        <f t="shared" si="2"/>
        <v>0.5</v>
      </c>
      <c r="K22" s="159">
        <f t="shared" si="1"/>
        <v>0.7</v>
      </c>
    </row>
    <row r="23" spans="1:11" ht="15" customHeight="1" x14ac:dyDescent="0.25">
      <c r="A23" s="157" t="s">
        <v>166</v>
      </c>
      <c r="B23" s="157" t="s">
        <v>60</v>
      </c>
      <c r="C23" s="157" t="s">
        <v>87</v>
      </c>
      <c r="D23" s="157" t="s">
        <v>39</v>
      </c>
      <c r="E23" s="157" t="s">
        <v>76</v>
      </c>
      <c r="F23" s="157" t="str">
        <f>+VLOOKUP(A23,'Estado SCI'!$A$16:$I$59,9,0)</f>
        <v>Oportunidad de mejora</v>
      </c>
      <c r="G23" s="157">
        <f>+VLOOKUP(A23,'Estado SCI'!$A$16:$L$59,12,0)</f>
        <v>30.234567891234001</v>
      </c>
      <c r="H23" s="157">
        <f t="shared" si="0"/>
        <v>18</v>
      </c>
      <c r="I23" s="157" t="str">
        <f>+IF(VLOOKUP(A23,'Estado SCI'!$A$16:$G$59,7,0)="","",VLOOKUP(A23,'Estado SCI'!$A$16:$G$59,7,0))</f>
        <v>En proceso</v>
      </c>
      <c r="J23" s="158">
        <f t="shared" si="2"/>
        <v>0.5</v>
      </c>
      <c r="K23" s="159">
        <f t="shared" si="1"/>
        <v>0.7</v>
      </c>
    </row>
    <row r="24" spans="1:11" ht="15" customHeight="1" x14ac:dyDescent="0.25">
      <c r="A24" s="157" t="s">
        <v>167</v>
      </c>
      <c r="B24" s="157" t="str">
        <f>+VLOOKUP(A24,'Estado SCI'!$A$16:$C$59,3,0)</f>
        <v>ACTIVIDADES DE CONTROL</v>
      </c>
      <c r="C24" s="157" t="s">
        <v>87</v>
      </c>
      <c r="D24" s="157" t="s">
        <v>34</v>
      </c>
      <c r="E24" s="157" t="s">
        <v>80</v>
      </c>
      <c r="F24" s="157" t="str">
        <f>+VLOOKUP(A24,'Estado SCI'!$A$16:$I$59,9,0)</f>
        <v>Oportunidad de mejora</v>
      </c>
      <c r="G24" s="157">
        <f>+VLOOKUP(A24,'Estado SCI'!$A$16:$L$59,12,0)</f>
        <v>50.31</v>
      </c>
      <c r="H24" s="157">
        <f t="shared" si="0"/>
        <v>23</v>
      </c>
      <c r="I24" s="157" t="str">
        <f>+IF(VLOOKUP(A24,'Estado SCI'!$A$16:$G$59,7,0)="","",VLOOKUP(A24,'Estado SCI'!$A$16:$G$59,7,0))</f>
        <v>En proceso</v>
      </c>
      <c r="J24" s="158">
        <f t="shared" si="2"/>
        <v>0.5</v>
      </c>
      <c r="K24" s="159">
        <f t="shared" si="1"/>
        <v>0.5</v>
      </c>
    </row>
    <row r="25" spans="1:11" ht="15" customHeight="1" x14ac:dyDescent="0.25">
      <c r="A25" s="157" t="s">
        <v>168</v>
      </c>
      <c r="B25" s="157" t="s">
        <v>78</v>
      </c>
      <c r="C25" s="157" t="s">
        <v>87</v>
      </c>
      <c r="D25" s="157" t="s">
        <v>36</v>
      </c>
      <c r="E25" s="157" t="s">
        <v>81</v>
      </c>
      <c r="F25" s="157" t="str">
        <f>+VLOOKUP(A25,'Estado SCI'!$A$16:$I$59,9,0)</f>
        <v>Oportunidad de mejora</v>
      </c>
      <c r="G25" s="157">
        <f>+VLOOKUP(A25,'Estado SCI'!$A$16:$L$59,12,0)</f>
        <v>50.323</v>
      </c>
      <c r="H25" s="157">
        <f t="shared" si="0"/>
        <v>24</v>
      </c>
      <c r="I25" s="157" t="str">
        <f>+IF(VLOOKUP(A25,'Estado SCI'!$A$16:$G$59,7,0)="","",VLOOKUP(A25,'Estado SCI'!$A$16:$G$59,7,0))</f>
        <v>En proceso</v>
      </c>
      <c r="J25" s="158">
        <f t="shared" si="2"/>
        <v>0.5</v>
      </c>
      <c r="K25" s="159">
        <f t="shared" si="1"/>
        <v>0.5</v>
      </c>
    </row>
    <row r="26" spans="1:11" ht="15" customHeight="1" x14ac:dyDescent="0.25">
      <c r="A26" s="157" t="s">
        <v>169</v>
      </c>
      <c r="B26" s="157" t="s">
        <v>78</v>
      </c>
      <c r="C26" s="157" t="s">
        <v>87</v>
      </c>
      <c r="D26" s="157" t="s">
        <v>39</v>
      </c>
      <c r="E26" s="157" t="s">
        <v>82</v>
      </c>
      <c r="F26" s="157" t="str">
        <f>+VLOOKUP(A26,'Estado SCI'!$A$16:$I$59,9,0)</f>
        <v>Oportunidad de mejora</v>
      </c>
      <c r="G26" s="157">
        <f>+VLOOKUP(A26,'Estado SCI'!$A$16:$L$59,12,0)</f>
        <v>50.323999999999998</v>
      </c>
      <c r="H26" s="157">
        <f t="shared" si="0"/>
        <v>25</v>
      </c>
      <c r="I26" s="157" t="str">
        <f>+IF(VLOOKUP(A26,'Estado SCI'!$A$16:$G$59,7,0)="","",VLOOKUP(A26,'Estado SCI'!$A$16:$G$59,7,0))</f>
        <v>En proceso</v>
      </c>
      <c r="J26" s="158">
        <f t="shared" si="2"/>
        <v>0.5</v>
      </c>
      <c r="K26" s="159">
        <f t="shared" si="1"/>
        <v>0.5</v>
      </c>
    </row>
    <row r="27" spans="1:11" ht="15.75" customHeight="1" x14ac:dyDescent="0.25">
      <c r="A27" s="157" t="s">
        <v>170</v>
      </c>
      <c r="B27" s="157" t="s">
        <v>78</v>
      </c>
      <c r="C27" s="157" t="s">
        <v>87</v>
      </c>
      <c r="D27" s="157" t="s">
        <v>41</v>
      </c>
      <c r="E27" s="157" t="s">
        <v>83</v>
      </c>
      <c r="F27" s="157" t="str">
        <f>+VLOOKUP(A27,'Estado SCI'!$A$16:$I$59,9,0)</f>
        <v>Oportunidad de mejora</v>
      </c>
      <c r="G27" s="157">
        <f>+VLOOKUP(A27,'Estado SCI'!$A$16:$L$59,12,0)</f>
        <v>50.325000000000003</v>
      </c>
      <c r="H27" s="157">
        <f t="shared" si="0"/>
        <v>26</v>
      </c>
      <c r="I27" s="157" t="str">
        <f>+IF(VLOOKUP(A27,'Estado SCI'!$A$16:$G$59,7,0)="","",VLOOKUP(A27,'Estado SCI'!$A$16:$G$59,7,0))</f>
        <v>En proceso</v>
      </c>
      <c r="J27" s="158">
        <f t="shared" si="2"/>
        <v>0.5</v>
      </c>
      <c r="K27" s="159">
        <f t="shared" si="1"/>
        <v>0.5</v>
      </c>
    </row>
    <row r="28" spans="1:11" ht="15" customHeight="1" x14ac:dyDescent="0.25">
      <c r="A28" s="157" t="s">
        <v>171</v>
      </c>
      <c r="B28" s="157" t="s">
        <v>78</v>
      </c>
      <c r="C28" s="157" t="s">
        <v>97</v>
      </c>
      <c r="D28" s="157" t="s">
        <v>43</v>
      </c>
      <c r="E28" s="157" t="s">
        <v>84</v>
      </c>
      <c r="F28" s="157" t="str">
        <f>+VLOOKUP(A28,'Estado SCI'!$A$16:$I$59,9,0)</f>
        <v>Oportunidad de mejora</v>
      </c>
      <c r="G28" s="157">
        <f>+VLOOKUP(A28,'Estado SCI'!$A$16:$L$59,12,0)</f>
        <v>50.326000000000001</v>
      </c>
      <c r="H28" s="157">
        <f t="shared" si="0"/>
        <v>27</v>
      </c>
      <c r="I28" s="157" t="str">
        <f>+IF(VLOOKUP(A28,'Estado SCI'!$A$16:$G$59,7,0)="","",VLOOKUP(A28,'Estado SCI'!$A$16:$G$59,7,0))</f>
        <v>En proceso</v>
      </c>
      <c r="J28" s="158">
        <f t="shared" si="2"/>
        <v>0.5</v>
      </c>
      <c r="K28" s="159">
        <f t="shared" si="1"/>
        <v>0.5</v>
      </c>
    </row>
    <row r="29" spans="1:11" ht="15" customHeight="1" x14ac:dyDescent="0.25">
      <c r="A29" s="157" t="s">
        <v>172</v>
      </c>
      <c r="B29" s="157" t="str">
        <f>+VLOOKUP(A29,'Estado SCI'!$A$16:$C$59,3,0)</f>
        <v>INFORMACION Y COMUNICACIÓN</v>
      </c>
      <c r="C29" s="157" t="s">
        <v>97</v>
      </c>
      <c r="D29" s="157" t="s">
        <v>34</v>
      </c>
      <c r="E29" s="157" t="s">
        <v>88</v>
      </c>
      <c r="F29" s="157" t="str">
        <f>+VLOOKUP(A29,'Estado SCI'!$A$16:$I$59,9,0)</f>
        <v>Oportunidad de mejora</v>
      </c>
      <c r="G29" s="157">
        <f>+VLOOKUP(A29,'Estado SCI'!$A$16:$L$59,12,0)</f>
        <v>70.412000000000006</v>
      </c>
      <c r="H29" s="157">
        <f t="shared" si="0"/>
        <v>28</v>
      </c>
      <c r="I29" s="157" t="str">
        <f>+IF(VLOOKUP(A29,'Estado SCI'!$A$16:$G$59,7,0)="","",VLOOKUP(A29,'Estado SCI'!$A$16:$G$59,7,0))</f>
        <v>En proceso</v>
      </c>
      <c r="J29" s="158">
        <f t="shared" si="2"/>
        <v>0.5</v>
      </c>
      <c r="K29" s="159">
        <f t="shared" si="1"/>
        <v>0.5</v>
      </c>
    </row>
    <row r="30" spans="1:11" ht="15" customHeight="1" x14ac:dyDescent="0.25">
      <c r="A30" s="157" t="s">
        <v>173</v>
      </c>
      <c r="B30" s="157" t="s">
        <v>86</v>
      </c>
      <c r="C30" s="157" t="s">
        <v>97</v>
      </c>
      <c r="D30" s="157" t="s">
        <v>36</v>
      </c>
      <c r="E30" s="157" t="s">
        <v>89</v>
      </c>
      <c r="F30" s="157" t="str">
        <f>+VLOOKUP(A30,'Estado SCI'!$A$16:$I$59,9,0)</f>
        <v>Oportunidad de mejora</v>
      </c>
      <c r="G30" s="157">
        <f>+VLOOKUP(A30,'Estado SCI'!$A$16:$L$59,12,0)</f>
        <v>70.412300000000002</v>
      </c>
      <c r="H30" s="157">
        <f t="shared" si="0"/>
        <v>29</v>
      </c>
      <c r="I30" s="157" t="str">
        <f>+IF(VLOOKUP(A30,'Estado SCI'!$A$16:$G$59,7,0)="","",VLOOKUP(A30,'Estado SCI'!$A$16:$G$59,7,0))</f>
        <v>En proceso</v>
      </c>
      <c r="J30" s="158">
        <f t="shared" si="2"/>
        <v>0.5</v>
      </c>
      <c r="K30" s="159">
        <f t="shared" si="1"/>
        <v>0.5</v>
      </c>
    </row>
    <row r="31" spans="1:11" ht="15.75" customHeight="1" x14ac:dyDescent="0.25">
      <c r="A31" s="157" t="s">
        <v>174</v>
      </c>
      <c r="B31" s="157" t="s">
        <v>86</v>
      </c>
      <c r="C31" s="157" t="s">
        <v>97</v>
      </c>
      <c r="D31" s="157" t="s">
        <v>39</v>
      </c>
      <c r="E31" s="157" t="s">
        <v>90</v>
      </c>
      <c r="F31" s="157" t="str">
        <f>+VLOOKUP(A31,'Estado SCI'!$A$16:$I$59,9,0)</f>
        <v>Oportunidad de mejora</v>
      </c>
      <c r="G31" s="157">
        <f>+VLOOKUP(A31,'Estado SCI'!$A$16:$L$59,12,0)</f>
        <v>70.41234</v>
      </c>
      <c r="H31" s="157">
        <f t="shared" si="0"/>
        <v>30</v>
      </c>
      <c r="I31" s="157" t="str">
        <f>+IF(VLOOKUP(A31,'Estado SCI'!$A$16:$G$59,7,0)="","",VLOOKUP(A31,'Estado SCI'!$A$16:$G$59,7,0))</f>
        <v>En proceso</v>
      </c>
      <c r="J31" s="158">
        <f t="shared" si="2"/>
        <v>0.5</v>
      </c>
      <c r="K31" s="159">
        <f t="shared" si="1"/>
        <v>0.5</v>
      </c>
    </row>
    <row r="32" spans="1:11" x14ac:dyDescent="0.25">
      <c r="A32" s="157" t="s">
        <v>175</v>
      </c>
      <c r="B32" s="157" t="s">
        <v>86</v>
      </c>
      <c r="C32" s="157" t="s">
        <v>103</v>
      </c>
      <c r="D32" s="157" t="s">
        <v>41</v>
      </c>
      <c r="E32" s="157" t="s">
        <v>91</v>
      </c>
      <c r="F32" s="157" t="str">
        <f>+VLOOKUP(A32,'Estado SCI'!$A$16:$I$59,9,0)</f>
        <v>Oportunidad de mejora</v>
      </c>
      <c r="G32" s="157">
        <f>+VLOOKUP(A32,'Estado SCI'!$A$16:$L$59,12,0)</f>
        <v>70.412345000000002</v>
      </c>
      <c r="H32" s="157">
        <f t="shared" si="0"/>
        <v>31</v>
      </c>
      <c r="I32" s="157" t="str">
        <f>+IF(VLOOKUP(A32,'Estado SCI'!$A$16:$G$59,7,0)="","",VLOOKUP(A32,'Estado SCI'!$A$16:$G$59,7,0))</f>
        <v>En proceso</v>
      </c>
      <c r="J32" s="158">
        <f t="shared" si="2"/>
        <v>0.5</v>
      </c>
      <c r="K32" s="159">
        <f t="shared" si="1"/>
        <v>0.5</v>
      </c>
    </row>
    <row r="33" spans="1:11" x14ac:dyDescent="0.25">
      <c r="A33" s="157" t="s">
        <v>176</v>
      </c>
      <c r="B33" s="157" t="s">
        <v>86</v>
      </c>
      <c r="C33" s="157" t="s">
        <v>177</v>
      </c>
      <c r="D33" s="157" t="s">
        <v>43</v>
      </c>
      <c r="E33" s="157" t="s">
        <v>92</v>
      </c>
      <c r="F33" s="157" t="str">
        <f>+VLOOKUP(A33,'Estado SCI'!$A$16:$I$59,9,0)</f>
        <v>Oportunidad de mejora</v>
      </c>
      <c r="G33" s="157">
        <f>+VLOOKUP(A33,'Estado SCI'!$A$16:$L$59,12,0)</f>
        <v>70.412345599999995</v>
      </c>
      <c r="H33" s="157">
        <f t="shared" si="0"/>
        <v>32</v>
      </c>
      <c r="I33" s="157" t="str">
        <f>+IF(VLOOKUP(A33,'Estado SCI'!$A$16:$G$59,7,0)="","",VLOOKUP(A33,'Estado SCI'!$A$16:$G$59,7,0))</f>
        <v>En proceso</v>
      </c>
      <c r="J33" s="158">
        <f t="shared" si="2"/>
        <v>0.5</v>
      </c>
      <c r="K33" s="159">
        <f t="shared" si="1"/>
        <v>0.5</v>
      </c>
    </row>
    <row r="34" spans="1:11" x14ac:dyDescent="0.25">
      <c r="A34" s="157" t="s">
        <v>178</v>
      </c>
      <c r="B34" s="157" t="s">
        <v>86</v>
      </c>
      <c r="C34" s="157" t="s">
        <v>177</v>
      </c>
      <c r="D34" s="157" t="s">
        <v>45</v>
      </c>
      <c r="E34" s="157" t="s">
        <v>93</v>
      </c>
      <c r="F34" s="157" t="str">
        <f>+VLOOKUP(A34,'Estado SCI'!$A$16:$I$59,9,0)</f>
        <v>Oportunidad de mejora</v>
      </c>
      <c r="G34" s="157">
        <f>+VLOOKUP(A34,'Estado SCI'!$A$16:$L$59,12,0)</f>
        <v>70.412345669999993</v>
      </c>
      <c r="H34" s="157">
        <f t="shared" si="0"/>
        <v>33</v>
      </c>
      <c r="I34" s="157" t="str">
        <f>+IF(VLOOKUP(A34,'Estado SCI'!$A$16:$G$59,7,0)="","",VLOOKUP(A34,'Estado SCI'!$A$16:$G$59,7,0))</f>
        <v>En proceso</v>
      </c>
      <c r="J34" s="158">
        <f t="shared" si="2"/>
        <v>0.5</v>
      </c>
      <c r="K34" s="159">
        <f t="shared" si="1"/>
        <v>0.5</v>
      </c>
    </row>
    <row r="35" spans="1:11" x14ac:dyDescent="0.25">
      <c r="A35" s="157" t="s">
        <v>179</v>
      </c>
      <c r="B35" s="157" t="s">
        <v>86</v>
      </c>
      <c r="C35" s="157" t="s">
        <v>177</v>
      </c>
      <c r="D35" s="157" t="s">
        <v>47</v>
      </c>
      <c r="E35" s="157" t="s">
        <v>94</v>
      </c>
      <c r="F35" s="157" t="str">
        <f>+VLOOKUP(A35,'Estado SCI'!$A$16:$I$59,9,0)</f>
        <v>Oportunidad de mejora</v>
      </c>
      <c r="G35" s="157">
        <f>+VLOOKUP(A35,'Estado SCI'!$A$16:$L$59,12,0)</f>
        <v>70.412345677999994</v>
      </c>
      <c r="H35" s="157">
        <f t="shared" si="0"/>
        <v>34</v>
      </c>
      <c r="I35" s="157" t="str">
        <f>+IF(VLOOKUP(A35,'Estado SCI'!$A$16:$G$59,7,0)="","",VLOOKUP(A35,'Estado SCI'!$A$16:$G$59,7,0))</f>
        <v>En proceso</v>
      </c>
      <c r="J35" s="158">
        <f t="shared" si="2"/>
        <v>0.5</v>
      </c>
      <c r="K35" s="159">
        <f t="shared" si="1"/>
        <v>0.5</v>
      </c>
    </row>
    <row r="36" spans="1:11" x14ac:dyDescent="0.25">
      <c r="A36" s="157" t="s">
        <v>180</v>
      </c>
      <c r="B36" s="157" t="str">
        <f>+VLOOKUP(A36,'Estado SCI'!$A$16:$C$59,3,0)</f>
        <v>ACTIVIDADES DE MONITOREO</v>
      </c>
      <c r="C36" s="157" t="s">
        <v>177</v>
      </c>
      <c r="D36" s="157" t="s">
        <v>34</v>
      </c>
      <c r="E36" s="157" t="s">
        <v>98</v>
      </c>
      <c r="F36" s="157" t="str">
        <f>+VLOOKUP(A36,'Estado SCI'!$A$16:$I$59,9,0)</f>
        <v>Mantenimiento del control</v>
      </c>
      <c r="G36" s="157">
        <f>+VLOOKUP(A36,'Estado SCI'!$A$16:$L$59,12,0)</f>
        <v>120.851</v>
      </c>
      <c r="H36" s="157">
        <f t="shared" si="0"/>
        <v>40</v>
      </c>
      <c r="I36" s="157" t="str">
        <f>+IF(VLOOKUP(A36,'Estado SCI'!$A$16:$G$59,7,0)="","",VLOOKUP(A36,'Estado SCI'!$A$16:$G$59,7,0))</f>
        <v>Si</v>
      </c>
      <c r="J36" s="158">
        <f t="shared" si="2"/>
        <v>1</v>
      </c>
      <c r="K36" s="159">
        <f t="shared" si="1"/>
        <v>0.75</v>
      </c>
    </row>
    <row r="37" spans="1:11" x14ac:dyDescent="0.25">
      <c r="A37" s="157" t="s">
        <v>181</v>
      </c>
      <c r="B37" s="157" t="s">
        <v>96</v>
      </c>
      <c r="C37" s="157" t="s">
        <v>177</v>
      </c>
      <c r="D37" s="157" t="s">
        <v>41</v>
      </c>
      <c r="E37" s="157" t="s">
        <v>99</v>
      </c>
      <c r="F37" s="157" t="str">
        <f>+VLOOKUP(A37,'Estado SCI'!$A$16:$I$59,9,0)</f>
        <v>Mantenimiento del control</v>
      </c>
      <c r="G37" s="157">
        <f>+VLOOKUP(A37,'Estado SCI'!$A$16:$L$59,12,0)</f>
        <v>120.85120000000001</v>
      </c>
      <c r="H37" s="157">
        <f t="shared" si="0"/>
        <v>41</v>
      </c>
      <c r="I37" s="157" t="str">
        <f>+IF(VLOOKUP(A37,'Estado SCI'!$A$16:$G$59,7,0)="","",VLOOKUP(A37,'Estado SCI'!$A$16:$G$59,7,0))</f>
        <v>Si</v>
      </c>
      <c r="J37" s="158">
        <f t="shared" si="2"/>
        <v>1</v>
      </c>
      <c r="K37" s="159">
        <f t="shared" si="1"/>
        <v>0.75</v>
      </c>
    </row>
    <row r="38" spans="1:11" x14ac:dyDescent="0.25">
      <c r="A38" s="157" t="s">
        <v>182</v>
      </c>
      <c r="B38" s="157" t="s">
        <v>96</v>
      </c>
      <c r="C38" s="157" t="s">
        <v>67</v>
      </c>
      <c r="D38" s="157" t="s">
        <v>45</v>
      </c>
      <c r="E38" s="157" t="s">
        <v>100</v>
      </c>
      <c r="F38" s="157" t="str">
        <f>+VLOOKUP(A38,'Estado SCI'!$A$16:$I$59,9,0)</f>
        <v>Mantenimiento del control</v>
      </c>
      <c r="G38" s="157">
        <f>+VLOOKUP(A38,'Estado SCI'!$A$16:$L$59,12,0)</f>
        <v>120.85123</v>
      </c>
      <c r="H38" s="157">
        <f t="shared" si="0"/>
        <v>42</v>
      </c>
      <c r="I38" s="157" t="str">
        <f>+IF(VLOOKUP(A38,'Estado SCI'!$A$16:$G$59,7,0)="","",VLOOKUP(A38,'Estado SCI'!$A$16:$G$59,7,0))</f>
        <v>Si</v>
      </c>
      <c r="J38" s="158">
        <f t="shared" si="2"/>
        <v>1</v>
      </c>
      <c r="K38" s="159">
        <f t="shared" si="1"/>
        <v>0.75</v>
      </c>
    </row>
    <row r="39" spans="1:11" x14ac:dyDescent="0.25">
      <c r="A39" s="157" t="s">
        <v>183</v>
      </c>
      <c r="B39" s="157" t="s">
        <v>96</v>
      </c>
      <c r="C39" s="157" t="s">
        <v>67</v>
      </c>
      <c r="D39" s="157" t="s">
        <v>47</v>
      </c>
      <c r="E39" s="157" t="s">
        <v>101</v>
      </c>
      <c r="F39" s="157" t="str">
        <f>+VLOOKUP(A39,'Estado SCI'!$A$16:$I$59,9,0)</f>
        <v>Mantenimiento del control</v>
      </c>
      <c r="G39" s="157">
        <f>+VLOOKUP(A39,'Estado SCI'!$A$16:$L$59,12,0)</f>
        <v>120.85123400000001</v>
      </c>
      <c r="H39" s="157">
        <f t="shared" si="0"/>
        <v>43</v>
      </c>
      <c r="I39" s="157" t="str">
        <f>+IF(VLOOKUP(A39,'Estado SCI'!$A$16:$G$59,7,0)="","",VLOOKUP(A39,'Estado SCI'!$A$16:$G$59,7,0))</f>
        <v>Si</v>
      </c>
      <c r="J39" s="158">
        <f t="shared" si="2"/>
        <v>1</v>
      </c>
      <c r="K39" s="159">
        <f t="shared" si="1"/>
        <v>0.75</v>
      </c>
    </row>
    <row r="40" spans="1:11" x14ac:dyDescent="0.25">
      <c r="A40" s="157" t="s">
        <v>184</v>
      </c>
      <c r="B40" s="157" t="s">
        <v>96</v>
      </c>
      <c r="C40" s="157" t="s">
        <v>67</v>
      </c>
      <c r="D40" s="157" t="s">
        <v>49</v>
      </c>
      <c r="E40" s="157" t="s">
        <v>104</v>
      </c>
      <c r="F40" s="157" t="str">
        <f>+VLOOKUP(A40,'Estado SCI'!$A$16:$I$59,9,0)</f>
        <v>Mantenimiento del control</v>
      </c>
      <c r="G40" s="157">
        <f>+VLOOKUP(A40,'Estado SCI'!$A$16:$L$59,12,0)</f>
        <v>120.8512345</v>
      </c>
      <c r="H40" s="157">
        <f t="shared" si="0"/>
        <v>44</v>
      </c>
      <c r="I40" s="157" t="str">
        <f>+IF(VLOOKUP(A40,'Estado SCI'!$A$16:$G$59,7,0)="","",VLOOKUP(A40,'Estado SCI'!$A$16:$G$59,7,0))</f>
        <v>Si</v>
      </c>
      <c r="J40" s="158">
        <f t="shared" si="2"/>
        <v>1</v>
      </c>
      <c r="K40" s="159">
        <f t="shared" si="1"/>
        <v>0.75</v>
      </c>
    </row>
    <row r="41" spans="1:11" x14ac:dyDescent="0.25">
      <c r="A41" s="157" t="s">
        <v>185</v>
      </c>
      <c r="B41" s="157" t="s">
        <v>96</v>
      </c>
      <c r="C41" s="157" t="s">
        <v>67</v>
      </c>
      <c r="D41" s="157" t="s">
        <v>34</v>
      </c>
      <c r="E41" s="157" t="s">
        <v>107</v>
      </c>
      <c r="F41" s="157" t="str">
        <f>+VLOOKUP(A41,'Estado SCI'!$A$16:$I$59,9,0)</f>
        <v>Oportunidad de mejora</v>
      </c>
      <c r="G41" s="157">
        <f>+VLOOKUP(A41,'Estado SCI'!$A$16:$L$59,12,0)</f>
        <v>100.85123455999999</v>
      </c>
      <c r="H41" s="157">
        <f t="shared" si="0"/>
        <v>35</v>
      </c>
      <c r="I41" s="157" t="str">
        <f>+IF(VLOOKUP(A41,'Estado SCI'!$A$16:$G$59,7,0)="","",VLOOKUP(A41,'Estado SCI'!$A$16:$G$59,7,0))</f>
        <v>En proceso</v>
      </c>
      <c r="J41" s="158">
        <f t="shared" si="2"/>
        <v>0.5</v>
      </c>
      <c r="K41" s="159">
        <f t="shared" si="1"/>
        <v>0.75</v>
      </c>
    </row>
    <row r="42" spans="1:11" x14ac:dyDescent="0.25">
      <c r="A42" s="157" t="s">
        <v>186</v>
      </c>
      <c r="B42" s="157" t="s">
        <v>96</v>
      </c>
      <c r="C42" s="157" t="s">
        <v>72</v>
      </c>
      <c r="D42" s="157" t="s">
        <v>36</v>
      </c>
      <c r="E42" s="157" t="s">
        <v>108</v>
      </c>
      <c r="F42" s="157" t="str">
        <f>+VLOOKUP(A42,'Estado SCI'!$A$16:$I$59,9,0)</f>
        <v>Oportunidad de mejora</v>
      </c>
      <c r="G42" s="157">
        <f>+VLOOKUP(A42,'Estado SCI'!$A$16:$L$59,12,0)</f>
        <v>100.85123456700001</v>
      </c>
      <c r="H42" s="157">
        <f t="shared" si="0"/>
        <v>36</v>
      </c>
      <c r="I42" s="157" t="str">
        <f>+IF(VLOOKUP(A42,'Estado SCI'!$A$16:$G$59,7,0)="","",VLOOKUP(A42,'Estado SCI'!$A$16:$G$59,7,0))</f>
        <v>En proceso</v>
      </c>
      <c r="J42" s="158">
        <f t="shared" si="2"/>
        <v>0.5</v>
      </c>
      <c r="K42" s="159">
        <f t="shared" si="1"/>
        <v>0.75</v>
      </c>
    </row>
    <row r="43" spans="1:11" x14ac:dyDescent="0.25">
      <c r="A43" s="157" t="s">
        <v>187</v>
      </c>
      <c r="B43" s="157" t="s">
        <v>96</v>
      </c>
      <c r="C43" s="157" t="s">
        <v>72</v>
      </c>
      <c r="D43" s="157" t="s">
        <v>39</v>
      </c>
      <c r="E43" s="157" t="s">
        <v>109</v>
      </c>
      <c r="F43" s="157" t="str">
        <f>+VLOOKUP(A43,'Estado SCI'!$A$16:$I$59,9,0)</f>
        <v>Oportunidad de mejora</v>
      </c>
      <c r="G43" s="157">
        <f>+VLOOKUP(A43,'Estado SCI'!$A$16:$L$59,12,0)</f>
        <v>100.85123456780001</v>
      </c>
      <c r="H43" s="157">
        <f t="shared" si="0"/>
        <v>37</v>
      </c>
      <c r="I43" s="157" t="str">
        <f>+IF(VLOOKUP(A43,'Estado SCI'!$A$16:$G$59,7,0)="","",VLOOKUP(A43,'Estado SCI'!$A$16:$G$59,7,0))</f>
        <v>En proceso</v>
      </c>
      <c r="J43" s="158">
        <f t="shared" si="2"/>
        <v>0.5</v>
      </c>
      <c r="K43" s="159">
        <f t="shared" si="1"/>
        <v>0.75</v>
      </c>
    </row>
    <row r="44" spans="1:11" x14ac:dyDescent="0.25">
      <c r="A44" s="157" t="s">
        <v>188</v>
      </c>
      <c r="B44" s="157" t="s">
        <v>96</v>
      </c>
      <c r="C44" s="157" t="s">
        <v>72</v>
      </c>
      <c r="D44" s="157" t="s">
        <v>41</v>
      </c>
      <c r="E44" s="157" t="s">
        <v>110</v>
      </c>
      <c r="F44" s="157" t="str">
        <f>+VLOOKUP(A44,'Estado SCI'!$A$16:$I$59,9,0)</f>
        <v>Oportunidad de mejora</v>
      </c>
      <c r="G44" s="157">
        <f>+VLOOKUP(A44,'Estado SCI'!$A$16:$L$59,12,0)</f>
        <v>100.85123456789</v>
      </c>
      <c r="H44" s="157">
        <f t="shared" si="0"/>
        <v>38</v>
      </c>
      <c r="I44" s="157" t="str">
        <f>+IF(VLOOKUP(A44,'Estado SCI'!$A$16:$G$59,7,0)="","",VLOOKUP(A44,'Estado SCI'!$A$16:$G$59,7,0))</f>
        <v>En proceso</v>
      </c>
      <c r="J44" s="158">
        <f t="shared" si="2"/>
        <v>0.5</v>
      </c>
      <c r="K44" s="159">
        <f t="shared" si="1"/>
        <v>0.75</v>
      </c>
    </row>
    <row r="45" spans="1:11" x14ac:dyDescent="0.25">
      <c r="A45" s="157" t="s">
        <v>189</v>
      </c>
      <c r="B45" s="157" t="s">
        <v>96</v>
      </c>
      <c r="C45" s="157" t="s">
        <v>72</v>
      </c>
      <c r="D45" s="157" t="s">
        <v>43</v>
      </c>
      <c r="E45" s="157" t="s">
        <v>111</v>
      </c>
      <c r="F45" s="157" t="str">
        <f>+VLOOKUP(A45,'Estado SCI'!$A$16:$I$59,9,0)</f>
        <v>Oportunidad de mejora</v>
      </c>
      <c r="G45" s="157">
        <f>+VLOOKUP(A45,'Estado SCI'!$A$16:$L$59,12,0)</f>
        <v>100.851234567891</v>
      </c>
      <c r="H45" s="157">
        <f t="shared" si="0"/>
        <v>39</v>
      </c>
      <c r="I45" s="157" t="str">
        <f>+IF(VLOOKUP(A45,'Estado SCI'!$A$16:$G$59,7,0)="","",VLOOKUP(A45,'Estado SCI'!$A$16:$G$59,7,0))</f>
        <v>En proceso</v>
      </c>
      <c r="J45" s="158">
        <f t="shared" si="2"/>
        <v>0.5</v>
      </c>
      <c r="K45" s="159">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Gloria Marleny Alvarez Vasco</cp:lastModifiedBy>
  <cp:revision/>
  <cp:lastPrinted>2021-07-30T22:23:54Z</cp:lastPrinted>
  <dcterms:created xsi:type="dcterms:W3CDTF">2020-04-28T13:58:09Z</dcterms:created>
  <dcterms:modified xsi:type="dcterms:W3CDTF">2021-07-30T22:24:56Z</dcterms:modified>
  <cp:category/>
  <cp:contentStatus/>
</cp:coreProperties>
</file>